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025" tabRatio="474" activeTab="0"/>
  </bookViews>
  <sheets>
    <sheet name="БНТ1_fixed" sheetId="1" r:id="rId1"/>
    <sheet name="БНТ 2_fixed" sheetId="2" r:id="rId2"/>
    <sheet name="БНТ 3_Ffixed" sheetId="3" r:id="rId3"/>
    <sheet name="БНТ 4_fixed" sheetId="4" r:id="rId4"/>
    <sheet name="data" sheetId="5" state="hidden" r:id="rId5"/>
  </sheets>
  <definedNames>
    <definedName name="_xlnm._FilterDatabase" localSheetId="4" hidden="1">'data'!$B$3:$D$447</definedName>
    <definedName name="_xlnm._FilterDatabase" localSheetId="1" hidden="1">'БНТ 2_fixed'!$A$11:$BJ$11</definedName>
    <definedName name="_xlnm._FilterDatabase" localSheetId="2" hidden="1">'БНТ 3_Ffixed'!$X$12:$BB$12</definedName>
    <definedName name="_xlnm._FilterDatabase" localSheetId="3" hidden="1">'БНТ 4_fixed'!$X$12:$BB$12</definedName>
    <definedName name="_xlnm._FilterDatabase" localSheetId="0" hidden="1">'БНТ1_fixed'!$A$12:$BL$12</definedName>
    <definedName name="_xlfn.COUNTIFS" hidden="1">#NAME?</definedName>
    <definedName name="_xlfn.IFERROR" hidden="1">#NAME?</definedName>
    <definedName name="_xlfn.SUMIFS" hidden="1">#NAME?</definedName>
    <definedName name="Add">'data'!#REF!</definedName>
    <definedName name="Agency">'data'!$A$53:$A$54</definedName>
    <definedName name="agent">'data'!$K$24:$L$24</definedName>
    <definedName name="avansovo">'data'!$K$33:$M$33</definedName>
    <definedName name="bezTRP">'data'!$K$31:$L$31</definedName>
    <definedName name="bruten_ryst">'data'!$K$28:$M$28</definedName>
    <definedName name="Code">#REF!</definedName>
    <definedName name="Codes2" localSheetId="1">'БНТ 2_fixed'!$E$4:$E$9</definedName>
    <definedName name="Codes2" localSheetId="2">'БНТ 3_Ffixed'!$E$4:$E$9</definedName>
    <definedName name="Codes2" localSheetId="3">'БНТ 4_fixed'!$E$4:$E$9</definedName>
    <definedName name="Codes2" localSheetId="0">'БНТ1_fixed'!$E$4:$E$9</definedName>
    <definedName name="Codes2">#REF!</definedName>
    <definedName name="codes3" localSheetId="0">'БНТ1_fixed'!$E$4:$E$10</definedName>
    <definedName name="codes3">#REF!</definedName>
    <definedName name="day" localSheetId="1">'data'!#REF!</definedName>
    <definedName name="day" localSheetId="2">'data'!#REF!</definedName>
    <definedName name="day" localSheetId="3">'data'!#REF!</definedName>
    <definedName name="day" localSheetId="0">'data'!#REF!</definedName>
    <definedName name="day">'data'!#REF!</definedName>
    <definedName name="days" localSheetId="1">'data'!#REF!</definedName>
    <definedName name="days" localSheetId="2">'data'!#REF!</definedName>
    <definedName name="days" localSheetId="3">'data'!#REF!</definedName>
    <definedName name="days" localSheetId="0">'data'!#REF!</definedName>
    <definedName name="days">'data'!#REF!</definedName>
    <definedName name="duration">'data'!$B$17:$B$71</definedName>
    <definedName name="duration1">'data'!$B$17:$B$102</definedName>
    <definedName name="duration2">'data'!$B$17:$C$102</definedName>
    <definedName name="duration3">'data'!$B$17:$B$102</definedName>
    <definedName name="f">#REF!</definedName>
    <definedName name="Free" localSheetId="1">'БНТ 2_fixed'!#REF!,'БНТ 2_fixed'!#REF!,'БНТ 2_fixed'!#REF!,'БНТ 2_fixed'!#REF!,'БНТ 2_fixed'!#REF!,'БНТ 2_fixed'!#REF!,'БНТ 2_fixed'!#REF!,'БНТ 2_fixed'!#REF!,'БНТ 2_fixed'!#REF!,'БНТ 2_fixed'!#REF!,'БНТ 2_fixed'!#REF!,'БНТ 2_fixed'!#REF!,'БНТ 2_fixed'!#REF!,'БНТ 2_fixed'!#REF!,'БНТ 2_fixed'!#REF!,'БНТ 2_fixed'!#REF!,'БНТ 2_fixed'!#REF!,'БНТ 2_fixed'!#REF!,'БНТ 2_fixed'!#REF!,'БНТ 2_fixed'!#REF!,'БНТ 2_fixed'!#REF!,'БНТ 2_fixed'!#REF!,'БНТ 2_fixed'!#REF!,'БНТ 2_fixed'!#REF!,'БНТ 2_fixed'!#REF!,'БНТ 2_fixed'!#REF!,'БНТ 2_fixed'!#REF!,'БНТ 2_fixed'!#REF!,'БНТ 2_fixed'!#REF!,'БНТ 2_fixed'!#REF!,'БНТ 2_fixed'!#REF!</definedName>
    <definedName name="Free" localSheetId="2">'БНТ 3_Ffixed'!#REF!,'БНТ 3_Ffixed'!#REF!,'БНТ 3_Ffixed'!#REF!,'БНТ 3_Ffixed'!#REF!,'БНТ 3_Ffixed'!#REF!,'БНТ 3_Ffixed'!#REF!,'БНТ 3_Ffixed'!#REF!,'БНТ 3_Ffixed'!#REF!,'БНТ 3_Ffixed'!#REF!,'БНТ 3_Ffixed'!#REF!,'БНТ 3_Ffixed'!#REF!,'БНТ 3_Ffixed'!#REF!,'БНТ 3_Ffixed'!#REF!,'БНТ 3_Ffixed'!#REF!,'БНТ 3_Ffixed'!#REF!,'БНТ 3_Ffixed'!#REF!,'БНТ 3_Ffixed'!#REF!,'БНТ 3_Ffixed'!#REF!,'БНТ 3_Ffixed'!#REF!,'БНТ 3_Ffixed'!#REF!,'БНТ 3_Ffixed'!#REF!,'БНТ 3_Ffixed'!#REF!,'БНТ 3_Ffixed'!#REF!,'БНТ 3_Ffixed'!#REF!,'БНТ 3_Ffixed'!#REF!,'БНТ 3_Ffixed'!#REF!,'БНТ 3_Ffixed'!#REF!,'БНТ 3_Ffixed'!#REF!,'БНТ 3_Ffixed'!#REF!,'БНТ 3_Ffixed'!#REF!,'БНТ 3_Ffixed'!#REF!</definedName>
    <definedName name="Free" localSheetId="3">'БНТ 4_fixed'!#REF!,'БНТ 4_fixed'!#REF!,'БНТ 4_fixed'!#REF!,'БНТ 4_fixed'!#REF!,'БНТ 4_fixed'!#REF!,'БНТ 4_fixed'!#REF!,'БНТ 4_fixed'!#REF!,'БНТ 4_fixed'!#REF!,'БНТ 4_fixed'!#REF!,'БНТ 4_fixed'!#REF!,'БНТ 4_fixed'!#REF!,'БНТ 4_fixed'!#REF!,'БНТ 4_fixed'!#REF!,'БНТ 4_fixed'!#REF!,'БНТ 4_fixed'!#REF!,'БНТ 4_fixed'!#REF!,'БНТ 4_fixed'!#REF!,'БНТ 4_fixed'!#REF!,'БНТ 4_fixed'!#REF!,'БНТ 4_fixed'!#REF!,'БНТ 4_fixed'!#REF!,'БНТ 4_fixed'!#REF!,'БНТ 4_fixed'!#REF!,'БНТ 4_fixed'!#REF!,'БНТ 4_fixed'!#REF!,'БНТ 4_fixed'!#REF!,'БНТ 4_fixed'!#REF!,'БНТ 4_fixed'!#REF!,'БНТ 4_fixed'!#REF!,'БНТ 4_fixed'!#REF!,'БНТ 4_fixed'!#REF!</definedName>
    <definedName name="Free" localSheetId="0">'БНТ1_fixed'!#REF!,'БНТ1_fixed'!#REF!,'БНТ1_fixed'!#REF!,'БНТ1_fixed'!#REF!,'БНТ1_fixed'!#REF!,'БНТ1_fixed'!#REF!,'БНТ1_fixed'!#REF!,'БНТ1_fixed'!#REF!,'БНТ1_fixed'!#REF!,'БНТ1_fixed'!#REF!,'БНТ1_fixed'!#REF!,'БНТ1_fixed'!#REF!,'БНТ1_fixed'!#REF!,'БНТ1_fixed'!#REF!,'БНТ1_fixed'!#REF!,'БНТ1_fixed'!#REF!,'БНТ1_fixed'!#REF!,'БНТ1_fixed'!#REF!,'БНТ1_fixed'!#REF!,'БНТ1_fixed'!#REF!,'БНТ1_fixed'!#REF!,'БНТ1_fixed'!#REF!,'БНТ1_fixed'!#REF!,'БНТ1_fixed'!#REF!,'БНТ1_fixed'!#REF!,'БНТ1_fixed'!#REF!,'БНТ1_fixed'!#REF!,'БНТ1_fixed'!#REF!,'БНТ1_fixed'!#REF!,'БНТ1_fixed'!#REF!,'БНТ1_fixed'!#REF!</definedName>
    <definedName name="Free">#REF!,#REF!,#REF!,#REF!,#REF!,#REF!,#REF!,#REF!,#REF!,#REF!,#REF!,#REF!,#REF!,#REF!,#REF!,#REF!,#REF!,#REF!,#REF!,#REF!,#REF!,#REF!,#REF!,#REF!,#REF!,#REF!,#REF!,#REF!,#REF!,#REF!,#REF!</definedName>
    <definedName name="Growth">'data'!$A$68:$A$71</definedName>
    <definedName name="HD" localSheetId="1">'data'!#REF!</definedName>
    <definedName name="HD" localSheetId="2">'data'!#REF!</definedName>
    <definedName name="HD" localSheetId="0">'data'!#REF!</definedName>
    <definedName name="HD">'data'!#REF!</definedName>
    <definedName name="komb">'data'!#REF!</definedName>
    <definedName name="komb1">'data'!#REF!</definedName>
    <definedName name="kombin">'data'!$K$29:$L$29</definedName>
    <definedName name="krosmediina">'data'!$K$30:$L$30</definedName>
    <definedName name="Loyalty">'data'!$A$74:$A$79</definedName>
    <definedName name="Loyalty2">'data'!$A$74:$A$79</definedName>
    <definedName name="Mode" localSheetId="1">'data'!#REF!</definedName>
    <definedName name="Mode" localSheetId="2">'data'!#REF!</definedName>
    <definedName name="Mode" localSheetId="3">'data'!#REF!</definedName>
    <definedName name="Mode" localSheetId="0">'data'!#REF!</definedName>
    <definedName name="Mode">'data'!#REF!</definedName>
    <definedName name="net">'data'!$L$28:$M$28</definedName>
    <definedName name="neten">'data'!$K$28:$M$28</definedName>
    <definedName name="nevidim">'data'!$J$3:$J$7</definedName>
    <definedName name="newdays">'data'!$J$54:$J$54</definedName>
    <definedName name="newdays1" localSheetId="1">'data'!#REF!</definedName>
    <definedName name="newdays1" localSheetId="2">'data'!#REF!</definedName>
    <definedName name="newdays1" localSheetId="0">'data'!#REF!</definedName>
    <definedName name="newdays1">'data'!#REF!</definedName>
    <definedName name="obem">'data'!$K$27:$W$27</definedName>
    <definedName name="obemna">'data'!$K$27:$W$27</definedName>
    <definedName name="Package" localSheetId="1">'data'!#REF!</definedName>
    <definedName name="Package" localSheetId="2">'data'!#REF!</definedName>
    <definedName name="Package" localSheetId="3">'data'!#REF!</definedName>
    <definedName name="Package" localSheetId="0">'data'!#REF!</definedName>
    <definedName name="Package">'data'!#REF!</definedName>
    <definedName name="packs">'data'!$J$10:$J$12</definedName>
    <definedName name="percent">'data'!$G$4:$G$29</definedName>
    <definedName name="percent1">'data'!$G$4:$G$33</definedName>
    <definedName name="Position">'data'!$A$81:$A$91</definedName>
    <definedName name="Positioning">'data'!$A$81:$A$91</definedName>
    <definedName name="Positions1">'data'!$C$3:$C$4</definedName>
    <definedName name="Positions2">'data'!$C$3:$C$10</definedName>
    <definedName name="Positions4">'data'!$C$3:$C$7</definedName>
    <definedName name="Preference">'data'!$A$83:$A$84</definedName>
    <definedName name="_xlnm.Print_Area" localSheetId="1">'БНТ 2_fixed'!$A$1:$BJ$58</definedName>
    <definedName name="_xlnm.Print_Area" localSheetId="2">'БНТ 3_Ffixed'!$A$1:$BJ$70</definedName>
    <definedName name="_xlnm.Print_Area" localSheetId="3">'БНТ 4_fixed'!$A$1:$BI$83</definedName>
    <definedName name="_xlnm.Print_Area" localSheetId="0">'БНТ1_fixed'!$A$1:$BL$68</definedName>
    <definedName name="PT">'data'!$L$29:$R$29</definedName>
    <definedName name="PT1">'data'!$K$29:$R$29</definedName>
    <definedName name="PTI">'data'!$A$103:$A$107</definedName>
    <definedName name="PTInd">'data'!$A$99:$A$107</definedName>
    <definedName name="PTIndex">'data'!$A$98:$A$107</definedName>
    <definedName name="ran_dog">'data'!#REF!</definedName>
    <definedName name="ranno_dog">'data'!$K$32:$L$32</definedName>
    <definedName name="RBS" localSheetId="1">'data'!#REF!</definedName>
    <definedName name="RBS" localSheetId="2">'data'!#REF!</definedName>
    <definedName name="RBS" localSheetId="3">'data'!#REF!</definedName>
    <definedName name="RBS" localSheetId="0">'data'!#REF!</definedName>
    <definedName name="RBS">'data'!#REF!</definedName>
    <definedName name="RByS" localSheetId="1">'data'!#REF!</definedName>
    <definedName name="RByS" localSheetId="2">'data'!#REF!</definedName>
    <definedName name="RByS" localSheetId="3">'data'!#REF!</definedName>
    <definedName name="RByS" localSheetId="0">'data'!#REF!</definedName>
    <definedName name="RByS">'data'!#REF!</definedName>
    <definedName name="rekalma3">'data'!#REF!</definedName>
    <definedName name="Reklama">'data'!$C$12:$C$13</definedName>
    <definedName name="reklama1">'data'!$C$11:$C$16</definedName>
    <definedName name="reklama10">'data'!$N$43:$N$49</definedName>
    <definedName name="reklama2">'data'!$C$12:$C$16</definedName>
    <definedName name="reklama3">'data'!$C$11:$C$16</definedName>
    <definedName name="reklama4">'data'!$C$103:$C$104</definedName>
    <definedName name="reklama5">'data'!$C$12:$C$16</definedName>
    <definedName name="reklama8">'data'!$C$11:$C$16</definedName>
    <definedName name="reklama9">'data'!$P$43:$P$49</definedName>
    <definedName name="skonto">'data'!$K$33:$L$33</definedName>
    <definedName name="spons">'data'!#REF!</definedName>
    <definedName name="spons2">'data'!$K$28:$L$28</definedName>
    <definedName name="sponsorski">'data'!$K$29:$R$29</definedName>
    <definedName name="target">'data'!#REF!</definedName>
    <definedName name="Targets">'data'!$C$2:$C$8</definedName>
    <definedName name="TG2" localSheetId="1">'data'!#REF!</definedName>
    <definedName name="TG2" localSheetId="2">'data'!#REF!</definedName>
    <definedName name="TG2" localSheetId="3">'data'!#REF!</definedName>
    <definedName name="TG2" localSheetId="0">'data'!#REF!</definedName>
    <definedName name="TG2">'data'!#REF!</definedName>
    <definedName name="TG3" localSheetId="1">'data'!#REF!</definedName>
    <definedName name="TG3" localSheetId="2">'data'!#REF!</definedName>
    <definedName name="TG3" localSheetId="3">'data'!#REF!</definedName>
    <definedName name="TG3" localSheetId="0">'data'!#REF!</definedName>
    <definedName name="TG3">'data'!#REF!</definedName>
    <definedName name="time" localSheetId="1">'data'!#REF!</definedName>
    <definedName name="time" localSheetId="2">'data'!#REF!</definedName>
    <definedName name="time" localSheetId="3">'data'!#REF!</definedName>
    <definedName name="time" localSheetId="0">'data'!#REF!</definedName>
    <definedName name="time">'data'!#REF!</definedName>
    <definedName name="time1">'data'!$Q$13:$Q$21</definedName>
    <definedName name="time100">'data'!$J$16:$J$21</definedName>
    <definedName name="time101">'data'!$N$16:$N$21</definedName>
    <definedName name="time2" localSheetId="1">'data'!#REF!</definedName>
    <definedName name="time2" localSheetId="2">'data'!#REF!</definedName>
    <definedName name="time2" localSheetId="0">'data'!#REF!</definedName>
    <definedName name="time2">'data'!#REF!</definedName>
    <definedName name="time3" localSheetId="1">'data'!#REF!</definedName>
    <definedName name="time3" localSheetId="2">'data'!#REF!</definedName>
    <definedName name="time3" localSheetId="0">'data'!#REF!</definedName>
    <definedName name="time3">'data'!#REF!</definedName>
    <definedName name="time4" localSheetId="1">'data'!#REF!</definedName>
    <definedName name="time4" localSheetId="2">'data'!#REF!</definedName>
    <definedName name="time4" localSheetId="0">'data'!#REF!</definedName>
    <definedName name="time4">'data'!#REF!</definedName>
    <definedName name="time5">'data'!$S$18:$S$25</definedName>
    <definedName name="time6" localSheetId="1">'data'!#REF!</definedName>
    <definedName name="time6" localSheetId="2">'data'!#REF!</definedName>
    <definedName name="time6" localSheetId="0">'data'!#REF!</definedName>
    <definedName name="time6">'data'!#REF!</definedName>
    <definedName name="time7">'data'!$R$4:$R$12</definedName>
    <definedName name="time99">'data'!$R$4:$R$9</definedName>
    <definedName name="times" localSheetId="1">'data'!#REF!</definedName>
    <definedName name="times" localSheetId="2">'data'!#REF!</definedName>
    <definedName name="times" localSheetId="3">'data'!#REF!</definedName>
    <definedName name="times" localSheetId="0">'data'!#REF!</definedName>
    <definedName name="times">'data'!#REF!</definedName>
    <definedName name="TPS">'data'!$A$95:$A$95</definedName>
    <definedName name="TVC">#REF!</definedName>
    <definedName name="Vol">'data'!$A$56:$A$67</definedName>
    <definedName name="Volume">'data'!$A$56:$A$63</definedName>
    <definedName name="weekday">'data'!$J$55</definedName>
    <definedName name="weekday1">'data'!$J$54</definedName>
  </definedNames>
  <calcPr fullCalcOnLoad="1"/>
</workbook>
</file>

<file path=xl/comments1.xml><?xml version="1.0" encoding="utf-8"?>
<comments xmlns="http://schemas.openxmlformats.org/spreadsheetml/2006/main">
  <authors>
    <author>Emiliya</author>
  </authors>
  <commentList>
    <comment ref="B2" authorId="0">
      <text>
        <r>
          <rPr>
            <sz val="9"/>
            <rFont val="Cambria"/>
            <family val="1"/>
          </rPr>
          <t xml:space="preserve">Моля, изберете език!
Please, choose a language!
</t>
        </r>
      </text>
    </comment>
  </commentList>
</comments>
</file>

<file path=xl/comments2.xml><?xml version="1.0" encoding="utf-8"?>
<comments xmlns="http://schemas.openxmlformats.org/spreadsheetml/2006/main">
  <authors>
    <author>Emiliya</author>
  </authors>
  <commentList>
    <comment ref="B2" authorId="0">
      <text>
        <r>
          <rPr>
            <sz val="9"/>
            <rFont val="Cambria"/>
            <family val="1"/>
          </rPr>
          <t xml:space="preserve">Моля, избрете език!
Please, choose a language!
</t>
        </r>
      </text>
    </comment>
  </commentList>
</comments>
</file>

<file path=xl/comments3.xml><?xml version="1.0" encoding="utf-8"?>
<comments xmlns="http://schemas.openxmlformats.org/spreadsheetml/2006/main">
  <authors>
    <author>Emiliya</author>
  </authors>
  <commentList>
    <comment ref="B2" authorId="0">
      <text>
        <r>
          <rPr>
            <sz val="9"/>
            <rFont val="Cambria"/>
            <family val="1"/>
          </rPr>
          <t xml:space="preserve">Моля, изберете език!
Please, choose a language!
</t>
        </r>
      </text>
    </comment>
  </commentList>
</comments>
</file>

<file path=xl/comments4.xml><?xml version="1.0" encoding="utf-8"?>
<comments xmlns="http://schemas.openxmlformats.org/spreadsheetml/2006/main">
  <authors>
    <author>Emiliya</author>
  </authors>
  <commentList>
    <comment ref="B2" authorId="0">
      <text>
        <r>
          <rPr>
            <sz val="9"/>
            <rFont val="Cambria"/>
            <family val="1"/>
          </rPr>
          <t>Моля, изберете език!
Please, choose a language</t>
        </r>
        <r>
          <rPr>
            <b/>
            <sz val="9"/>
            <rFont val="Tahoma"/>
            <family val="2"/>
          </rPr>
          <t>!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<sst xmlns="http://schemas.openxmlformats.org/spreadsheetml/2006/main" count="227" uniqueCount="105">
  <si>
    <t>W1</t>
  </si>
  <si>
    <t>W2</t>
  </si>
  <si>
    <t>W3</t>
  </si>
  <si>
    <t>W4</t>
  </si>
  <si>
    <t>w5</t>
  </si>
  <si>
    <t>W6</t>
  </si>
  <si>
    <t>Клип</t>
  </si>
  <si>
    <t>СЗ</t>
  </si>
  <si>
    <t>Платен репортаж</t>
  </si>
  <si>
    <t>Анонс</t>
  </si>
  <si>
    <t>reklama3</t>
  </si>
  <si>
    <t xml:space="preserve">Клиент: </t>
  </si>
  <si>
    <t xml:space="preserve">Кампания: </t>
  </si>
  <si>
    <t xml:space="preserve">Период: </t>
  </si>
  <si>
    <t>По договор:</t>
  </si>
  <si>
    <t xml:space="preserve">Решение на УС </t>
  </si>
  <si>
    <t>Входящ №:</t>
  </si>
  <si>
    <t>Лице за контакт:</t>
  </si>
  <si>
    <t>Цена A</t>
  </si>
  <si>
    <t>Брой A</t>
  </si>
  <si>
    <t>Цена B</t>
  </si>
  <si>
    <t>Цена C</t>
  </si>
  <si>
    <t>Цена D</t>
  </si>
  <si>
    <t>Цена E</t>
  </si>
  <si>
    <t>Цена F</t>
  </si>
  <si>
    <t>Брой B</t>
  </si>
  <si>
    <t>Брой C</t>
  </si>
  <si>
    <t>Брой D</t>
  </si>
  <si>
    <t>Брой E</t>
  </si>
  <si>
    <t>Брой F</t>
  </si>
  <si>
    <t>Утежнение</t>
  </si>
  <si>
    <t>ЗАЯВИЛ (подпис и печат):</t>
  </si>
  <si>
    <t>Часови пояс</t>
  </si>
  <si>
    <t>06:00-12:00</t>
  </si>
  <si>
    <t>12:00-16:00</t>
  </si>
  <si>
    <t>22:00-01:00</t>
  </si>
  <si>
    <t>01:00-06:00</t>
  </si>
  <si>
    <t>newdays</t>
  </si>
  <si>
    <t>BNT1 fixed</t>
  </si>
  <si>
    <t>ЧАСОВИ ПОЯС</t>
  </si>
  <si>
    <t>ПОНЕДЕЛНИК-НЕДЕЛЯ</t>
  </si>
  <si>
    <t>БНТ2</t>
  </si>
  <si>
    <t>mon-sun</t>
  </si>
  <si>
    <t>reklama4</t>
  </si>
  <si>
    <t>Positions4</t>
  </si>
  <si>
    <t>Закъснение</t>
  </si>
  <si>
    <t>16:00-19:00</t>
  </si>
  <si>
    <t>БНТ HD</t>
  </si>
  <si>
    <t>19:00-22:00</t>
  </si>
  <si>
    <t>22:00-23:00</t>
  </si>
  <si>
    <t>PT%</t>
  </si>
  <si>
    <t>OPT%</t>
  </si>
  <si>
    <t>16:00 - 19:00</t>
  </si>
  <si>
    <t>БНТ 2</t>
  </si>
  <si>
    <t>БНТ Свят</t>
  </si>
  <si>
    <t>Брутен бюджет</t>
  </si>
  <si>
    <t>Цена за 30 сек клип</t>
  </si>
  <si>
    <t>нива</t>
  </si>
  <si>
    <t>01:00 - 06:00</t>
  </si>
  <si>
    <t>Type of advertising</t>
  </si>
  <si>
    <t>Cut-in</t>
  </si>
  <si>
    <t>Cut in</t>
  </si>
  <si>
    <t>Шапка реклама</t>
  </si>
  <si>
    <t>Index to 30" bnt</t>
  </si>
  <si>
    <t>Цена G</t>
  </si>
  <si>
    <t>Брой G</t>
  </si>
  <si>
    <t>11:00-13:00</t>
  </si>
  <si>
    <t>13:00-16:00</t>
  </si>
  <si>
    <t>23:00-01:00</t>
  </si>
  <si>
    <t>time7</t>
  </si>
  <si>
    <t>Избор на език / Language choice:</t>
  </si>
  <si>
    <t>ENG</t>
  </si>
  <si>
    <t>BG</t>
  </si>
  <si>
    <t>Spot</t>
  </si>
  <si>
    <t>Spons tag</t>
  </si>
  <si>
    <t>Spons promo</t>
  </si>
  <si>
    <t>Paid report</t>
  </si>
  <si>
    <t>Break ID</t>
  </si>
  <si>
    <t>Break ID with VO</t>
  </si>
  <si>
    <t>Break ID 7+7</t>
  </si>
  <si>
    <t>Break ID with VO 7+7</t>
  </si>
  <si>
    <t>Break Choice</t>
  </si>
  <si>
    <t>Break and Positon Choice</t>
  </si>
  <si>
    <t>Two Ads in One Break</t>
  </si>
  <si>
    <t>First in Break Choice</t>
  </si>
  <si>
    <t>Second in break</t>
  </si>
  <si>
    <t>Before Last in Break</t>
  </si>
  <si>
    <t>Last in Break</t>
  </si>
  <si>
    <t>1000-3000</t>
  </si>
  <si>
    <t>3001-5000</t>
  </si>
  <si>
    <t>over 5001</t>
  </si>
  <si>
    <t>Агенция</t>
  </si>
  <si>
    <t>06:00-07:00</t>
  </si>
  <si>
    <t>Two Ads in One Break "Top&amp;Tail"</t>
  </si>
  <si>
    <t>Position 2:</t>
  </si>
  <si>
    <t>07:00-11:00</t>
  </si>
  <si>
    <t>фиксирани цени</t>
  </si>
  <si>
    <t>единични цени</t>
  </si>
  <si>
    <t>06:00 - 12:00</t>
  </si>
  <si>
    <t>12:00 - 16:00</t>
  </si>
  <si>
    <t>БНТ 4</t>
  </si>
  <si>
    <t>БНТ 3</t>
  </si>
  <si>
    <t>пон-нед</t>
  </si>
  <si>
    <t>19:00 - 22:00</t>
  </si>
  <si>
    <t>Тотал:</t>
  </si>
</sst>
</file>

<file path=xl/styles.xml><?xml version="1.0" encoding="utf-8"?>
<styleSheet xmlns="http://schemas.openxmlformats.org/spreadsheetml/2006/main">
  <numFmts count="3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.00\ _л_в_._-;\-* #,##0.00\ _л_в_._-;_-* &quot;-&quot;??\ _л_в_._-;_-@_-"/>
    <numFmt numFmtId="165" formatCode="_-* #,##0\ &quot;лв&quot;_-;\-* #,##0\ &quot;лв&quot;_-;_-* &quot;-&quot;\ &quot;лв&quot;_-;_-@_-"/>
    <numFmt numFmtId="166" formatCode="_-* #,##0\ _л_в_-;\-* #,##0\ _л_в_-;_-* &quot;-&quot;\ _л_в_-;_-@_-"/>
    <numFmt numFmtId="167" formatCode="_-* #,##0.00\ &quot;лв&quot;_-;\-* #,##0.00\ &quot;лв&quot;_-;_-* &quot;-&quot;??\ &quot;лв&quot;_-;_-@_-"/>
    <numFmt numFmtId="168" formatCode="_-* #,##0.00\ _л_в_-;\-* #,##0.00\ _л_в_-;_-* &quot;-&quot;??\ _л_в_-;_-@_-"/>
    <numFmt numFmtId="169" formatCode="[$-F400]h:mm:ss\ AM/PM"/>
    <numFmt numFmtId="170" formatCode="0.0"/>
    <numFmt numFmtId="171" formatCode="0.000%"/>
    <numFmt numFmtId="172" formatCode="#,##0.0"/>
    <numFmt numFmtId="173" formatCode="0.0000"/>
    <numFmt numFmtId="174" formatCode="0.0000000"/>
    <numFmt numFmtId="175" formatCode="0.000000000"/>
    <numFmt numFmtId="176" formatCode="##0"/>
    <numFmt numFmtId="177" formatCode="#,##0.00\ &quot;лв.&quot;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.00_ ;\-#,##0.00\ "/>
    <numFmt numFmtId="183" formatCode="hh:mm:ss;@"/>
    <numFmt numFmtId="184" formatCode="_-* #,##0\ _л_в_._-;\-* #,##0\ _л_в_._-;_-* &quot;-&quot;??\ _л_в_._-;_-@_-"/>
    <numFmt numFmtId="185" formatCode="0.0%"/>
    <numFmt numFmtId="186" formatCode="0.000"/>
    <numFmt numFmtId="187" formatCode="_-* #,##0.0\ _л_в_-;\-* #,##0.0\ _л_в_-;_-* &quot;-&quot;??\ _л_в_-;_-@_-"/>
    <numFmt numFmtId="188" formatCode="_-* #,##0\ _л_в_-;\-* #,##0\ _л_в_-;_-* &quot;-&quot;??\ _л_в_-;_-@_-"/>
  </numFmts>
  <fonts count="96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9"/>
      <name val="Cambri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mbria"/>
      <family val="1"/>
    </font>
    <font>
      <i/>
      <sz val="11"/>
      <color indexed="10"/>
      <name val="Cambria"/>
      <family val="1"/>
    </font>
    <font>
      <sz val="11"/>
      <color indexed="8"/>
      <name val="Cambria"/>
      <family val="1"/>
    </font>
    <font>
      <b/>
      <sz val="11"/>
      <name val="Cambria"/>
      <family val="1"/>
    </font>
    <font>
      <b/>
      <sz val="11"/>
      <color indexed="10"/>
      <name val="Cambria"/>
      <family val="1"/>
    </font>
    <font>
      <sz val="11"/>
      <color indexed="63"/>
      <name val="Cambria"/>
      <family val="1"/>
    </font>
    <font>
      <b/>
      <sz val="11"/>
      <color indexed="63"/>
      <name val="Cambria"/>
      <family val="1"/>
    </font>
    <font>
      <i/>
      <sz val="11"/>
      <color indexed="63"/>
      <name val="Cambria"/>
      <family val="1"/>
    </font>
    <font>
      <b/>
      <sz val="11"/>
      <color indexed="9"/>
      <name val="Cambria"/>
      <family val="1"/>
    </font>
    <font>
      <i/>
      <sz val="9"/>
      <color indexed="63"/>
      <name val="Cambria"/>
      <family val="1"/>
    </font>
    <font>
      <sz val="9"/>
      <color indexed="63"/>
      <name val="Cambria"/>
      <family val="1"/>
    </font>
    <font>
      <b/>
      <sz val="9"/>
      <color indexed="63"/>
      <name val="Cambria"/>
      <family val="1"/>
    </font>
    <font>
      <b/>
      <sz val="8"/>
      <name val="Cambria"/>
      <family val="1"/>
    </font>
    <font>
      <b/>
      <sz val="9"/>
      <color indexed="10"/>
      <name val="Cambria"/>
      <family val="1"/>
    </font>
    <font>
      <b/>
      <sz val="9"/>
      <name val="Cambria"/>
      <family val="1"/>
    </font>
    <font>
      <b/>
      <sz val="9"/>
      <color indexed="8"/>
      <name val="Cambria"/>
      <family val="1"/>
    </font>
    <font>
      <sz val="9"/>
      <color indexed="8"/>
      <name val="Cambria"/>
      <family val="1"/>
    </font>
    <font>
      <b/>
      <sz val="16"/>
      <name val="Cambria"/>
      <family val="1"/>
    </font>
    <font>
      <b/>
      <sz val="16"/>
      <color indexed="63"/>
      <name val="Cambria"/>
      <family val="1"/>
    </font>
    <font>
      <sz val="11"/>
      <color indexed="9"/>
      <name val="Cambria"/>
      <family val="1"/>
    </font>
    <font>
      <b/>
      <sz val="10"/>
      <color indexed="9"/>
      <name val="Cambria"/>
      <family val="1"/>
    </font>
    <font>
      <b/>
      <sz val="10"/>
      <color indexed="63"/>
      <name val="Cambria"/>
      <family val="1"/>
    </font>
    <font>
      <sz val="8"/>
      <color indexed="63"/>
      <name val="Cambria"/>
      <family val="1"/>
    </font>
    <font>
      <sz val="11"/>
      <color indexed="10"/>
      <name val="Cambria"/>
      <family val="1"/>
    </font>
    <font>
      <sz val="8"/>
      <name val="Cambria"/>
      <family val="1"/>
    </font>
    <font>
      <sz val="10"/>
      <color indexed="63"/>
      <name val="Arial"/>
      <family val="2"/>
    </font>
    <font>
      <b/>
      <sz val="10"/>
      <color indexed="63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8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 tint="0.24998000264167786"/>
      <name val="Cambria"/>
      <family val="1"/>
    </font>
    <font>
      <b/>
      <sz val="11"/>
      <color theme="1" tint="0.24998000264167786"/>
      <name val="Cambria"/>
      <family val="1"/>
    </font>
    <font>
      <i/>
      <sz val="11"/>
      <color theme="1" tint="0.24998000264167786"/>
      <name val="Cambria"/>
      <family val="1"/>
    </font>
    <font>
      <b/>
      <sz val="11"/>
      <color theme="0"/>
      <name val="Cambria"/>
      <family val="1"/>
    </font>
    <font>
      <i/>
      <sz val="9"/>
      <color theme="1" tint="0.24998000264167786"/>
      <name val="Cambria"/>
      <family val="1"/>
    </font>
    <font>
      <sz val="9"/>
      <color theme="1" tint="0.24998000264167786"/>
      <name val="Cambria"/>
      <family val="1"/>
    </font>
    <font>
      <b/>
      <sz val="9"/>
      <color theme="1" tint="0.24998000264167786"/>
      <name val="Cambria"/>
      <family val="1"/>
    </font>
    <font>
      <b/>
      <sz val="9"/>
      <color rgb="FF000000"/>
      <name val="Cambria"/>
      <family val="1"/>
    </font>
    <font>
      <sz val="9"/>
      <color rgb="FF000000"/>
      <name val="Cambria"/>
      <family val="1"/>
    </font>
    <font>
      <b/>
      <sz val="16"/>
      <color theme="1" tint="0.24998000264167786"/>
      <name val="Cambria"/>
      <family val="1"/>
    </font>
    <font>
      <sz val="11"/>
      <color theme="0"/>
      <name val="Cambria"/>
      <family val="1"/>
    </font>
    <font>
      <sz val="9"/>
      <color theme="1" tint="0.15000000596046448"/>
      <name val="Cambria"/>
      <family val="1"/>
    </font>
    <font>
      <b/>
      <sz val="11"/>
      <color theme="1" tint="0.15000000596046448"/>
      <name val="Cambria"/>
      <family val="1"/>
    </font>
    <font>
      <sz val="11"/>
      <color theme="1" tint="0.15000000596046448"/>
      <name val="Cambria"/>
      <family val="1"/>
    </font>
    <font>
      <b/>
      <sz val="10"/>
      <color theme="0"/>
      <name val="Cambria"/>
      <family val="1"/>
    </font>
    <font>
      <b/>
      <sz val="10"/>
      <color theme="1" tint="0.24998000264167786"/>
      <name val="Cambria"/>
      <family val="1"/>
    </font>
    <font>
      <sz val="8"/>
      <color theme="1" tint="0.24998000264167786"/>
      <name val="Cambria"/>
      <family val="1"/>
    </font>
    <font>
      <b/>
      <sz val="11"/>
      <color theme="1" tint="0.34999001026153564"/>
      <name val="Cambria"/>
      <family val="1"/>
    </font>
    <font>
      <b/>
      <sz val="10"/>
      <color theme="1" tint="0.34999001026153564"/>
      <name val="Cambria"/>
      <family val="1"/>
    </font>
    <font>
      <b/>
      <sz val="9"/>
      <color theme="1" tint="0.34999001026153564"/>
      <name val="Cambria"/>
      <family val="1"/>
    </font>
    <font>
      <b/>
      <sz val="9"/>
      <color theme="1" tint="0.15000000596046448"/>
      <name val="Cambria"/>
      <family val="1"/>
    </font>
    <font>
      <sz val="10"/>
      <color theme="1" tint="0.24998000264167786"/>
      <name val="Arial"/>
      <family val="2"/>
    </font>
    <font>
      <b/>
      <sz val="10"/>
      <color theme="1" tint="0.24998000264167786"/>
      <name val="Arial"/>
      <family val="2"/>
    </font>
    <font>
      <b/>
      <sz val="8"/>
      <name val="Arial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64D0A"/>
        <bgColor indexed="64"/>
      </patternFill>
    </fill>
    <fill>
      <patternFill patternType="solid">
        <fgColor rgb="FF8BCA36"/>
        <bgColor indexed="64"/>
      </patternFill>
    </fill>
    <fill>
      <patternFill patternType="solid">
        <fgColor rgb="FF089FF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theme="0" tint="-0.4999699890613556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theme="0" tint="-0.4999699890613556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9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7" borderId="1" applyNumberFormat="0" applyAlignment="0" applyProtection="0"/>
    <xf numFmtId="0" fontId="57" fillId="28" borderId="2" applyNumberFormat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8" fontId="3" fillId="0" borderId="0" applyFont="0" applyFill="0" applyBorder="0" applyAlignment="0" applyProtection="0"/>
    <xf numFmtId="164" fontId="53" fillId="0" borderId="0" applyFont="0" applyFill="0" applyBorder="0" applyAlignment="0" applyProtection="0"/>
    <xf numFmtId="164" fontId="0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0" fillId="0" borderId="0">
      <alignment/>
      <protection/>
    </xf>
    <xf numFmtId="0" fontId="6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67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68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</cellStyleXfs>
  <cellXfs count="354">
    <xf numFmtId="0" fontId="0" fillId="0" borderId="0" xfId="0" applyAlignment="1">
      <alignment/>
    </xf>
    <xf numFmtId="0" fontId="25" fillId="33" borderId="10" xfId="0" applyFont="1" applyFill="1" applyBorder="1" applyAlignment="1">
      <alignment/>
    </xf>
    <xf numFmtId="0" fontId="25" fillId="0" borderId="10" xfId="0" applyFont="1" applyBorder="1" applyAlignment="1">
      <alignment/>
    </xf>
    <xf numFmtId="0" fontId="25" fillId="0" borderId="10" xfId="83" applyFont="1" applyBorder="1" applyAlignment="1">
      <alignment horizontal="center" vertical="center" wrapText="1"/>
      <protection/>
    </xf>
    <xf numFmtId="20" fontId="25" fillId="0" borderId="10" xfId="0" applyNumberFormat="1" applyFont="1" applyBorder="1" applyAlignment="1">
      <alignment horizontal="center"/>
    </xf>
    <xf numFmtId="0" fontId="25" fillId="0" borderId="10" xfId="42" applyNumberFormat="1" applyFont="1" applyBorder="1" applyAlignment="1">
      <alignment horizontal="center"/>
    </xf>
    <xf numFmtId="2" fontId="25" fillId="33" borderId="10" xfId="0" applyNumberFormat="1" applyFont="1" applyFill="1" applyBorder="1" applyAlignment="1">
      <alignment horizontal="center"/>
    </xf>
    <xf numFmtId="0" fontId="25" fillId="33" borderId="11" xfId="0" applyFont="1" applyFill="1" applyBorder="1" applyAlignment="1">
      <alignment/>
    </xf>
    <xf numFmtId="9" fontId="25" fillId="33" borderId="10" xfId="86" applyFont="1" applyFill="1" applyBorder="1" applyAlignment="1">
      <alignment/>
    </xf>
    <xf numFmtId="0" fontId="25" fillId="33" borderId="12" xfId="0" applyFont="1" applyFill="1" applyBorder="1" applyAlignment="1">
      <alignment/>
    </xf>
    <xf numFmtId="0" fontId="25" fillId="33" borderId="0" xfId="0" applyFont="1" applyFill="1" applyAlignment="1">
      <alignment/>
    </xf>
    <xf numFmtId="0" fontId="25" fillId="33" borderId="0" xfId="0" applyFont="1" applyFill="1" applyAlignment="1">
      <alignment/>
    </xf>
    <xf numFmtId="0" fontId="25" fillId="33" borderId="10" xfId="0" applyFont="1" applyFill="1" applyBorder="1" applyAlignment="1" applyProtection="1">
      <alignment/>
      <protection locked="0"/>
    </xf>
    <xf numFmtId="0" fontId="25" fillId="33" borderId="10" xfId="0" applyFont="1" applyFill="1" applyBorder="1" applyAlignment="1" applyProtection="1">
      <alignment horizontal="center"/>
      <protection locked="0"/>
    </xf>
    <xf numFmtId="0" fontId="25" fillId="34" borderId="10" xfId="0" applyFont="1" applyFill="1" applyBorder="1" applyAlignment="1" applyProtection="1">
      <alignment/>
      <protection locked="0"/>
    </xf>
    <xf numFmtId="0" fontId="25" fillId="33" borderId="13" xfId="0" applyFont="1" applyFill="1" applyBorder="1" applyAlignment="1" applyProtection="1">
      <alignment horizontal="center"/>
      <protection locked="0"/>
    </xf>
    <xf numFmtId="0" fontId="26" fillId="33" borderId="12" xfId="0" applyFont="1" applyFill="1" applyBorder="1" applyAlignment="1">
      <alignment/>
    </xf>
    <xf numFmtId="169" fontId="25" fillId="33" borderId="12" xfId="0" applyNumberFormat="1" applyFont="1" applyFill="1" applyBorder="1" applyAlignment="1">
      <alignment/>
    </xf>
    <xf numFmtId="170" fontId="27" fillId="0" borderId="12" xfId="0" applyNumberFormat="1" applyFont="1" applyBorder="1" applyAlignment="1">
      <alignment horizontal="center"/>
    </xf>
    <xf numFmtId="0" fontId="25" fillId="33" borderId="13" xfId="0" applyFont="1" applyFill="1" applyBorder="1" applyAlignment="1" applyProtection="1">
      <alignment/>
      <protection locked="0"/>
    </xf>
    <xf numFmtId="0" fontId="25" fillId="33" borderId="0" xfId="0" applyFont="1" applyFill="1" applyAlignment="1" applyProtection="1">
      <alignment/>
      <protection locked="0"/>
    </xf>
    <xf numFmtId="0" fontId="25" fillId="33" borderId="0" xfId="0" applyFont="1" applyFill="1" applyAlignment="1" applyProtection="1">
      <alignment/>
      <protection locked="0"/>
    </xf>
    <xf numFmtId="0" fontId="28" fillId="33" borderId="10" xfId="0" applyFont="1" applyFill="1" applyBorder="1" applyAlignment="1" applyProtection="1">
      <alignment/>
      <protection locked="0"/>
    </xf>
    <xf numFmtId="0" fontId="28" fillId="33" borderId="10" xfId="0" applyFont="1" applyFill="1" applyBorder="1" applyAlignment="1" applyProtection="1">
      <alignment/>
      <protection locked="0"/>
    </xf>
    <xf numFmtId="0" fontId="28" fillId="33" borderId="0" xfId="0" applyFont="1" applyFill="1" applyAlignment="1" applyProtection="1">
      <alignment/>
      <protection locked="0"/>
    </xf>
    <xf numFmtId="0" fontId="29" fillId="33" borderId="0" xfId="0" applyFont="1" applyFill="1" applyAlignment="1" applyProtection="1">
      <alignment/>
      <protection locked="0"/>
    </xf>
    <xf numFmtId="2" fontId="25" fillId="33" borderId="0" xfId="0" applyNumberFormat="1" applyFont="1" applyFill="1" applyAlignment="1" applyProtection="1">
      <alignment/>
      <protection locked="0"/>
    </xf>
    <xf numFmtId="0" fontId="28" fillId="0" borderId="0" xfId="0" applyFont="1" applyAlignment="1" applyProtection="1">
      <alignment horizontal="right" vertical="center"/>
      <protection locked="0"/>
    </xf>
    <xf numFmtId="177" fontId="28" fillId="33" borderId="0" xfId="0" applyNumberFormat="1" applyFont="1" applyFill="1" applyAlignment="1" applyProtection="1">
      <alignment horizontal="center"/>
      <protection locked="0"/>
    </xf>
    <xf numFmtId="0" fontId="28" fillId="33" borderId="0" xfId="0" applyFont="1" applyFill="1" applyAlignment="1" applyProtection="1">
      <alignment/>
      <protection locked="0"/>
    </xf>
    <xf numFmtId="0" fontId="28" fillId="0" borderId="0" xfId="0" applyFont="1" applyAlignment="1" applyProtection="1">
      <alignment horizontal="left" vertical="center"/>
      <protection locked="0"/>
    </xf>
    <xf numFmtId="0" fontId="72" fillId="33" borderId="0" xfId="0" applyFont="1" applyFill="1" applyAlignment="1" applyProtection="1">
      <alignment/>
      <protection locked="0"/>
    </xf>
    <xf numFmtId="0" fontId="73" fillId="33" borderId="10" xfId="0" applyFont="1" applyFill="1" applyBorder="1" applyAlignment="1" applyProtection="1">
      <alignment/>
      <protection locked="0"/>
    </xf>
    <xf numFmtId="0" fontId="72" fillId="34" borderId="10" xfId="0" applyFont="1" applyFill="1" applyBorder="1" applyAlignment="1" applyProtection="1">
      <alignment/>
      <protection locked="0"/>
    </xf>
    <xf numFmtId="0" fontId="72" fillId="33" borderId="10" xfId="0" applyFont="1" applyFill="1" applyBorder="1" applyAlignment="1" applyProtection="1">
      <alignment/>
      <protection locked="0"/>
    </xf>
    <xf numFmtId="0" fontId="72" fillId="33" borderId="10" xfId="0" applyFont="1" applyFill="1" applyBorder="1" applyAlignment="1" applyProtection="1">
      <alignment horizontal="center"/>
      <protection locked="0"/>
    </xf>
    <xf numFmtId="0" fontId="73" fillId="33" borderId="0" xfId="0" applyFont="1" applyFill="1" applyAlignment="1" applyProtection="1">
      <alignment/>
      <protection locked="0"/>
    </xf>
    <xf numFmtId="0" fontId="73" fillId="35" borderId="10" xfId="0" applyFont="1" applyFill="1" applyBorder="1" applyAlignment="1" applyProtection="1">
      <alignment horizontal="center" vertical="center"/>
      <protection locked="0"/>
    </xf>
    <xf numFmtId="0" fontId="72" fillId="33" borderId="10" xfId="0" applyFont="1" applyFill="1" applyBorder="1" applyAlignment="1">
      <alignment/>
    </xf>
    <xf numFmtId="0" fontId="72" fillId="0" borderId="10" xfId="0" applyFont="1" applyBorder="1" applyAlignment="1">
      <alignment/>
    </xf>
    <xf numFmtId="0" fontId="72" fillId="0" borderId="10" xfId="83" applyFont="1" applyBorder="1" applyAlignment="1">
      <alignment horizontal="center" vertical="center" wrapText="1"/>
      <protection/>
    </xf>
    <xf numFmtId="20" fontId="72" fillId="0" borderId="10" xfId="0" applyNumberFormat="1" applyFont="1" applyBorder="1" applyAlignment="1">
      <alignment horizontal="center"/>
    </xf>
    <xf numFmtId="0" fontId="72" fillId="0" borderId="10" xfId="42" applyNumberFormat="1" applyFont="1" applyBorder="1" applyAlignment="1">
      <alignment horizontal="center"/>
    </xf>
    <xf numFmtId="2" fontId="72" fillId="33" borderId="10" xfId="0" applyNumberFormat="1" applyFont="1" applyFill="1" applyBorder="1" applyAlignment="1">
      <alignment horizontal="center"/>
    </xf>
    <xf numFmtId="9" fontId="72" fillId="33" borderId="10" xfId="86" applyFont="1" applyFill="1" applyBorder="1" applyAlignment="1">
      <alignment/>
    </xf>
    <xf numFmtId="2" fontId="72" fillId="33" borderId="0" xfId="0" applyNumberFormat="1" applyFont="1" applyFill="1" applyAlignment="1" applyProtection="1">
      <alignment/>
      <protection locked="0"/>
    </xf>
    <xf numFmtId="0" fontId="74" fillId="33" borderId="12" xfId="0" applyFont="1" applyFill="1" applyBorder="1" applyAlignment="1">
      <alignment/>
    </xf>
    <xf numFmtId="0" fontId="72" fillId="33" borderId="12" xfId="0" applyFont="1" applyFill="1" applyBorder="1" applyAlignment="1">
      <alignment/>
    </xf>
    <xf numFmtId="169" fontId="72" fillId="33" borderId="12" xfId="0" applyNumberFormat="1" applyFont="1" applyFill="1" applyBorder="1" applyAlignment="1">
      <alignment/>
    </xf>
    <xf numFmtId="170" fontId="72" fillId="0" borderId="12" xfId="0" applyNumberFormat="1" applyFont="1" applyBorder="1" applyAlignment="1">
      <alignment horizontal="center"/>
    </xf>
    <xf numFmtId="0" fontId="72" fillId="33" borderId="0" xfId="0" applyFont="1" applyFill="1" applyAlignment="1">
      <alignment/>
    </xf>
    <xf numFmtId="0" fontId="72" fillId="33" borderId="0" xfId="0" applyFont="1" applyFill="1" applyAlignment="1" applyProtection="1">
      <alignment/>
      <protection locked="0"/>
    </xf>
    <xf numFmtId="0" fontId="73" fillId="0" borderId="0" xfId="0" applyFont="1" applyAlignment="1" applyProtection="1">
      <alignment horizontal="right" vertical="center"/>
      <protection locked="0"/>
    </xf>
    <xf numFmtId="177" fontId="73" fillId="33" borderId="0" xfId="0" applyNumberFormat="1" applyFont="1" applyFill="1" applyAlignment="1" applyProtection="1">
      <alignment horizontal="center"/>
      <protection locked="0"/>
    </xf>
    <xf numFmtId="0" fontId="73" fillId="33" borderId="0" xfId="0" applyFont="1" applyFill="1" applyAlignment="1" applyProtection="1">
      <alignment/>
      <protection locked="0"/>
    </xf>
    <xf numFmtId="0" fontId="28" fillId="33" borderId="14" xfId="0" applyFont="1" applyFill="1" applyBorder="1" applyAlignment="1" applyProtection="1">
      <alignment/>
      <protection locked="0"/>
    </xf>
    <xf numFmtId="0" fontId="75" fillId="36" borderId="10" xfId="0" applyFont="1" applyFill="1" applyBorder="1" applyAlignment="1" applyProtection="1">
      <alignment horizontal="center" vertical="center"/>
      <protection locked="0"/>
    </xf>
    <xf numFmtId="0" fontId="25" fillId="0" borderId="12" xfId="0" applyFont="1" applyBorder="1" applyAlignment="1">
      <alignment/>
    </xf>
    <xf numFmtId="0" fontId="25" fillId="0" borderId="12" xfId="83" applyFont="1" applyBorder="1" applyAlignment="1">
      <alignment horizontal="center" vertical="center" wrapText="1"/>
      <protection/>
    </xf>
    <xf numFmtId="20" fontId="25" fillId="0" borderId="12" xfId="0" applyNumberFormat="1" applyFont="1" applyBorder="1" applyAlignment="1">
      <alignment horizontal="center"/>
    </xf>
    <xf numFmtId="0" fontId="25" fillId="0" borderId="12" xfId="42" applyNumberFormat="1" applyFont="1" applyBorder="1" applyAlignment="1">
      <alignment horizontal="center"/>
    </xf>
    <xf numFmtId="0" fontId="25" fillId="37" borderId="14" xfId="0" applyFont="1" applyFill="1" applyBorder="1" applyAlignment="1" applyProtection="1">
      <alignment horizontal="center"/>
      <protection locked="0"/>
    </xf>
    <xf numFmtId="0" fontId="25" fillId="0" borderId="14" xfId="0" applyFont="1" applyBorder="1" applyAlignment="1" applyProtection="1">
      <alignment horizontal="center"/>
      <protection locked="0"/>
    </xf>
    <xf numFmtId="9" fontId="25" fillId="33" borderId="12" xfId="86" applyFont="1" applyFill="1" applyBorder="1" applyAlignment="1">
      <alignment/>
    </xf>
    <xf numFmtId="9" fontId="25" fillId="33" borderId="0" xfId="86" applyFont="1" applyFill="1" applyAlignment="1">
      <alignment/>
    </xf>
    <xf numFmtId="2" fontId="25" fillId="33" borderId="0" xfId="0" applyNumberFormat="1" applyFont="1" applyFill="1" applyAlignment="1">
      <alignment horizontal="center"/>
    </xf>
    <xf numFmtId="0" fontId="28" fillId="38" borderId="10" xfId="0" applyFont="1" applyFill="1" applyBorder="1" applyAlignment="1" applyProtection="1">
      <alignment horizontal="center"/>
      <protection locked="0"/>
    </xf>
    <xf numFmtId="0" fontId="8" fillId="33" borderId="0" xfId="0" applyFont="1" applyFill="1" applyAlignment="1" applyProtection="1">
      <alignment/>
      <protection locked="0"/>
    </xf>
    <xf numFmtId="0" fontId="76" fillId="33" borderId="12" xfId="0" applyFont="1" applyFill="1" applyBorder="1" applyAlignment="1">
      <alignment/>
    </xf>
    <xf numFmtId="0" fontId="77" fillId="33" borderId="12" xfId="0" applyFont="1" applyFill="1" applyBorder="1" applyAlignment="1">
      <alignment/>
    </xf>
    <xf numFmtId="169" fontId="77" fillId="33" borderId="12" xfId="0" applyNumberFormat="1" applyFont="1" applyFill="1" applyBorder="1" applyAlignment="1">
      <alignment/>
    </xf>
    <xf numFmtId="170" fontId="77" fillId="0" borderId="12" xfId="0" applyNumberFormat="1" applyFont="1" applyBorder="1" applyAlignment="1">
      <alignment horizontal="center"/>
    </xf>
    <xf numFmtId="0" fontId="78" fillId="39" borderId="10" xfId="0" applyFont="1" applyFill="1" applyBorder="1" applyAlignment="1" applyProtection="1">
      <alignment horizontal="center" vertical="center"/>
      <protection locked="0"/>
    </xf>
    <xf numFmtId="0" fontId="77" fillId="39" borderId="10" xfId="0" applyFont="1" applyFill="1" applyBorder="1" applyAlignment="1" applyProtection="1">
      <alignment/>
      <protection locked="0"/>
    </xf>
    <xf numFmtId="0" fontId="77" fillId="39" borderId="10" xfId="0" applyFont="1" applyFill="1" applyBorder="1" applyAlignment="1" applyProtection="1">
      <alignment horizontal="center" vertical="center"/>
      <protection locked="0"/>
    </xf>
    <xf numFmtId="0" fontId="77" fillId="33" borderId="0" xfId="0" applyFont="1" applyFill="1" applyAlignment="1">
      <alignment/>
    </xf>
    <xf numFmtId="0" fontId="77" fillId="33" borderId="0" xfId="0" applyFont="1" applyFill="1" applyAlignment="1" applyProtection="1">
      <alignment/>
      <protection locked="0"/>
    </xf>
    <xf numFmtId="2" fontId="77" fillId="33" borderId="0" xfId="0" applyNumberFormat="1" applyFont="1" applyFill="1" applyAlignment="1" applyProtection="1">
      <alignment/>
      <protection locked="0"/>
    </xf>
    <xf numFmtId="0" fontId="77" fillId="33" borderId="0" xfId="0" applyFont="1" applyFill="1" applyAlignment="1">
      <alignment/>
    </xf>
    <xf numFmtId="0" fontId="77" fillId="39" borderId="0" xfId="0" applyFont="1" applyFill="1" applyAlignment="1" applyProtection="1">
      <alignment/>
      <protection locked="0"/>
    </xf>
    <xf numFmtId="0" fontId="77" fillId="39" borderId="0" xfId="0" applyFont="1" applyFill="1" applyAlignment="1" applyProtection="1">
      <alignment/>
      <protection locked="0"/>
    </xf>
    <xf numFmtId="0" fontId="77" fillId="38" borderId="0" xfId="0" applyFont="1" applyFill="1" applyAlignment="1" applyProtection="1">
      <alignment/>
      <protection locked="0"/>
    </xf>
    <xf numFmtId="0" fontId="8" fillId="33" borderId="0" xfId="0" applyFont="1" applyFill="1" applyAlignment="1" applyProtection="1">
      <alignment/>
      <protection locked="0"/>
    </xf>
    <xf numFmtId="0" fontId="25" fillId="33" borderId="0" xfId="0" applyFont="1" applyFill="1" applyAlignment="1" applyProtection="1">
      <alignment horizontal="center"/>
      <protection locked="0"/>
    </xf>
    <xf numFmtId="0" fontId="28" fillId="40" borderId="15" xfId="0" applyFont="1" applyFill="1" applyBorder="1" applyAlignment="1" applyProtection="1">
      <alignment horizontal="center"/>
      <protection locked="0"/>
    </xf>
    <xf numFmtId="0" fontId="28" fillId="0" borderId="15" xfId="0" applyFont="1" applyBorder="1" applyAlignment="1" applyProtection="1">
      <alignment horizontal="center" vertical="center"/>
      <protection locked="0"/>
    </xf>
    <xf numFmtId="0" fontId="72" fillId="33" borderId="0" xfId="0" applyFont="1" applyFill="1" applyAlignment="1" applyProtection="1">
      <alignment horizontal="right"/>
      <protection locked="0"/>
    </xf>
    <xf numFmtId="2" fontId="25" fillId="33" borderId="0" xfId="0" applyNumberFormat="1" applyFont="1" applyFill="1" applyAlignment="1" applyProtection="1">
      <alignment horizontal="center"/>
      <protection locked="0"/>
    </xf>
    <xf numFmtId="1" fontId="25" fillId="33" borderId="10" xfId="0" applyNumberFormat="1" applyFont="1" applyFill="1" applyBorder="1" applyAlignment="1">
      <alignment horizontal="center"/>
    </xf>
    <xf numFmtId="1" fontId="72" fillId="33" borderId="10" xfId="0" applyNumberFormat="1" applyFont="1" applyFill="1" applyBorder="1" applyAlignment="1">
      <alignment horizontal="center"/>
    </xf>
    <xf numFmtId="0" fontId="37" fillId="39" borderId="16" xfId="0" applyFont="1" applyFill="1" applyBorder="1" applyAlignment="1" applyProtection="1">
      <alignment horizontal="center" vertical="center"/>
      <protection locked="0"/>
    </xf>
    <xf numFmtId="2" fontId="25" fillId="33" borderId="14" xfId="0" applyNumberFormat="1" applyFont="1" applyFill="1" applyBorder="1" applyAlignment="1">
      <alignment horizontal="center"/>
    </xf>
    <xf numFmtId="0" fontId="8" fillId="33" borderId="0" xfId="0" applyFont="1" applyFill="1" applyAlignment="1">
      <alignment/>
    </xf>
    <xf numFmtId="0" fontId="8" fillId="0" borderId="0" xfId="0" applyFont="1" applyAlignment="1">
      <alignment/>
    </xf>
    <xf numFmtId="0" fontId="38" fillId="0" borderId="0" xfId="0" applyFont="1" applyAlignment="1">
      <alignment/>
    </xf>
    <xf numFmtId="0" fontId="39" fillId="41" borderId="17" xfId="70" applyFont="1" applyFill="1" applyBorder="1" applyAlignment="1">
      <alignment horizontal="center"/>
      <protection/>
    </xf>
    <xf numFmtId="9" fontId="8" fillId="33" borderId="0" xfId="0" applyNumberFormat="1" applyFont="1" applyFill="1" applyAlignment="1">
      <alignment/>
    </xf>
    <xf numFmtId="176" fontId="8" fillId="0" borderId="17" xfId="70" applyNumberFormat="1" applyFont="1" applyBorder="1">
      <alignment/>
      <protection/>
    </xf>
    <xf numFmtId="173" fontId="8" fillId="33" borderId="0" xfId="0" applyNumberFormat="1" applyFont="1" applyFill="1" applyAlignment="1">
      <alignment/>
    </xf>
    <xf numFmtId="0" fontId="79" fillId="42" borderId="17" xfId="0" applyFont="1" applyFill="1" applyBorder="1" applyAlignment="1">
      <alignment wrapText="1"/>
    </xf>
    <xf numFmtId="0" fontId="79" fillId="42" borderId="17" xfId="0" applyFont="1" applyFill="1" applyBorder="1" applyAlignment="1">
      <alignment horizontal="center" wrapText="1"/>
    </xf>
    <xf numFmtId="0" fontId="39" fillId="33" borderId="17" xfId="0" applyFont="1" applyFill="1" applyBorder="1" applyAlignment="1" applyProtection="1">
      <alignment/>
      <protection locked="0"/>
    </xf>
    <xf numFmtId="0" fontId="80" fillId="0" borderId="17" xfId="0" applyFont="1" applyBorder="1" applyAlignment="1">
      <alignment horizontal="center"/>
    </xf>
    <xf numFmtId="0" fontId="8" fillId="43" borderId="0" xfId="0" applyFont="1" applyFill="1" applyAlignment="1">
      <alignment/>
    </xf>
    <xf numFmtId="16" fontId="8" fillId="33" borderId="0" xfId="0" applyNumberFormat="1" applyFont="1" applyFill="1" applyAlignment="1" quotePrefix="1">
      <alignment/>
    </xf>
    <xf numFmtId="0" fontId="39" fillId="0" borderId="0" xfId="0" applyFont="1" applyAlignment="1">
      <alignment horizontal="center"/>
    </xf>
    <xf numFmtId="0" fontId="39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8" fillId="33" borderId="0" xfId="0" applyFont="1" applyFill="1" applyAlignment="1">
      <alignment horizontal="center"/>
    </xf>
    <xf numFmtId="0" fontId="42" fillId="0" borderId="18" xfId="0" applyFont="1" applyBorder="1" applyAlignment="1" applyProtection="1">
      <alignment horizontal="center" vertical="center" wrapText="1"/>
      <protection locked="0"/>
    </xf>
    <xf numFmtId="0" fontId="81" fillId="0" borderId="18" xfId="0" applyFont="1" applyBorder="1" applyAlignment="1" applyProtection="1">
      <alignment horizontal="center" vertical="center"/>
      <protection locked="0"/>
    </xf>
    <xf numFmtId="0" fontId="81" fillId="0" borderId="18" xfId="0" applyFont="1" applyBorder="1" applyAlignment="1" applyProtection="1">
      <alignment horizontal="center" vertical="center" wrapText="1"/>
      <protection locked="0"/>
    </xf>
    <xf numFmtId="0" fontId="42" fillId="0" borderId="0" xfId="0" applyFont="1" applyAlignment="1" applyProtection="1">
      <alignment horizontal="center" vertical="center"/>
      <protection locked="0"/>
    </xf>
    <xf numFmtId="0" fontId="25" fillId="33" borderId="0" xfId="0" applyFont="1" applyFill="1" applyAlignment="1" applyProtection="1">
      <alignment/>
      <protection locked="0"/>
    </xf>
    <xf numFmtId="0" fontId="8" fillId="0" borderId="0" xfId="0" applyFont="1" applyAlignment="1">
      <alignment horizontal="left"/>
    </xf>
    <xf numFmtId="0" fontId="8" fillId="33" borderId="0" xfId="0" applyFont="1" applyFill="1" applyAlignment="1">
      <alignment horizontal="left"/>
    </xf>
    <xf numFmtId="0" fontId="8" fillId="43" borderId="0" xfId="0" applyFont="1" applyFill="1" applyAlignment="1">
      <alignment horizontal="left"/>
    </xf>
    <xf numFmtId="0" fontId="82" fillId="33" borderId="0" xfId="0" applyFont="1" applyFill="1" applyAlignment="1" applyProtection="1">
      <alignment/>
      <protection locked="0"/>
    </xf>
    <xf numFmtId="0" fontId="39" fillId="39" borderId="0" xfId="0" applyFont="1" applyFill="1" applyAlignment="1" applyProtection="1">
      <alignment horizontal="right"/>
      <protection locked="0"/>
    </xf>
    <xf numFmtId="0" fontId="77" fillId="39" borderId="0" xfId="0" applyFont="1" applyFill="1" applyAlignment="1" applyProtection="1">
      <alignment horizontal="right"/>
      <protection locked="0"/>
    </xf>
    <xf numFmtId="0" fontId="78" fillId="39" borderId="0" xfId="0" applyFont="1" applyFill="1" applyAlignment="1" applyProtection="1">
      <alignment horizontal="right"/>
      <protection locked="0"/>
    </xf>
    <xf numFmtId="0" fontId="8" fillId="39" borderId="12" xfId="0" applyFont="1" applyFill="1" applyBorder="1" applyAlignment="1" applyProtection="1">
      <alignment horizontal="right"/>
      <protection locked="0"/>
    </xf>
    <xf numFmtId="0" fontId="72" fillId="33" borderId="0" xfId="0" applyFont="1" applyFill="1" applyAlignment="1" applyProtection="1">
      <alignment/>
      <protection locked="0"/>
    </xf>
    <xf numFmtId="0" fontId="73" fillId="33" borderId="0" xfId="0" applyFont="1" applyFill="1" applyAlignment="1" applyProtection="1">
      <alignment/>
      <protection locked="0"/>
    </xf>
    <xf numFmtId="0" fontId="83" fillId="33" borderId="0" xfId="0" applyFont="1" applyFill="1" applyAlignment="1" applyProtection="1">
      <alignment/>
      <protection locked="0"/>
    </xf>
    <xf numFmtId="0" fontId="84" fillId="39" borderId="10" xfId="0" applyFont="1" applyFill="1" applyBorder="1" applyAlignment="1" applyProtection="1">
      <alignment horizontal="center" vertical="center"/>
      <protection locked="0"/>
    </xf>
    <xf numFmtId="0" fontId="42" fillId="0" borderId="19" xfId="0" applyFont="1" applyBorder="1" applyAlignment="1" applyProtection="1">
      <alignment horizontal="center" vertical="center" wrapText="1"/>
      <protection locked="0"/>
    </xf>
    <xf numFmtId="0" fontId="81" fillId="0" borderId="19" xfId="0" applyFont="1" applyBorder="1" applyAlignment="1" applyProtection="1">
      <alignment horizontal="center" vertical="center"/>
      <protection locked="0"/>
    </xf>
    <xf numFmtId="0" fontId="81" fillId="0" borderId="19" xfId="0" applyFont="1" applyBorder="1" applyAlignment="1" applyProtection="1">
      <alignment horizontal="center" vertical="center" wrapText="1"/>
      <protection locked="0"/>
    </xf>
    <xf numFmtId="0" fontId="77" fillId="39" borderId="12" xfId="0" applyFont="1" applyFill="1" applyBorder="1" applyAlignment="1" applyProtection="1">
      <alignment horizontal="right"/>
      <protection locked="0"/>
    </xf>
    <xf numFmtId="0" fontId="25" fillId="33" borderId="10" xfId="0" applyFont="1" applyFill="1" applyBorder="1" applyAlignment="1" applyProtection="1">
      <alignment horizontal="center"/>
      <protection locked="0"/>
    </xf>
    <xf numFmtId="170" fontId="27" fillId="0" borderId="10" xfId="0" applyNumberFormat="1" applyFont="1" applyBorder="1" applyAlignment="1">
      <alignment horizontal="left"/>
    </xf>
    <xf numFmtId="170" fontId="72" fillId="0" borderId="10" xfId="0" applyNumberFormat="1" applyFont="1" applyBorder="1" applyAlignment="1">
      <alignment horizontal="left"/>
    </xf>
    <xf numFmtId="0" fontId="85" fillId="33" borderId="10" xfId="0" applyFont="1" applyFill="1" applyBorder="1" applyAlignment="1">
      <alignment/>
    </xf>
    <xf numFmtId="0" fontId="85" fillId="0" borderId="10" xfId="0" applyFont="1" applyBorder="1" applyAlignment="1">
      <alignment/>
    </xf>
    <xf numFmtId="0" fontId="85" fillId="0" borderId="10" xfId="83" applyFont="1" applyBorder="1" applyAlignment="1">
      <alignment horizontal="center" vertical="center" wrapText="1"/>
      <protection/>
    </xf>
    <xf numFmtId="20" fontId="85" fillId="0" borderId="10" xfId="0" applyNumberFormat="1" applyFont="1" applyBorder="1" applyAlignment="1">
      <alignment horizontal="center"/>
    </xf>
    <xf numFmtId="0" fontId="85" fillId="0" borderId="10" xfId="42" applyNumberFormat="1" applyFont="1" applyBorder="1" applyAlignment="1">
      <alignment horizontal="center"/>
    </xf>
    <xf numFmtId="2" fontId="85" fillId="33" borderId="10" xfId="0" applyNumberFormat="1" applyFont="1" applyFill="1" applyBorder="1" applyAlignment="1">
      <alignment horizontal="center"/>
    </xf>
    <xf numFmtId="1" fontId="85" fillId="33" borderId="10" xfId="0" applyNumberFormat="1" applyFont="1" applyFill="1" applyBorder="1" applyAlignment="1">
      <alignment horizontal="center"/>
    </xf>
    <xf numFmtId="0" fontId="28" fillId="33" borderId="18" xfId="0" applyFont="1" applyFill="1" applyBorder="1" applyAlignment="1" applyProtection="1">
      <alignment/>
      <protection locked="0"/>
    </xf>
    <xf numFmtId="0" fontId="33" fillId="35" borderId="20" xfId="0" applyFont="1" applyFill="1" applyBorder="1" applyAlignment="1" applyProtection="1">
      <alignment horizontal="center" vertical="center"/>
      <protection locked="0"/>
    </xf>
    <xf numFmtId="1" fontId="38" fillId="0" borderId="0" xfId="0" applyNumberFormat="1" applyFont="1" applyAlignment="1">
      <alignment/>
    </xf>
    <xf numFmtId="0" fontId="39" fillId="0" borderId="0" xfId="0" applyFont="1" applyAlignment="1">
      <alignment/>
    </xf>
    <xf numFmtId="0" fontId="75" fillId="44" borderId="10" xfId="0" applyFont="1" applyFill="1" applyBorder="1" applyAlignment="1" applyProtection="1">
      <alignment horizontal="center" vertical="center" wrapText="1"/>
      <protection locked="0"/>
    </xf>
    <xf numFmtId="0" fontId="86" fillId="44" borderId="10" xfId="0" applyFont="1" applyFill="1" applyBorder="1" applyAlignment="1" applyProtection="1">
      <alignment horizontal="center" vertical="center" wrapText="1"/>
      <protection locked="0"/>
    </xf>
    <xf numFmtId="2" fontId="75" fillId="44" borderId="10" xfId="0" applyNumberFormat="1" applyFont="1" applyFill="1" applyBorder="1" applyAlignment="1" applyProtection="1">
      <alignment horizontal="center" vertical="center" wrapText="1"/>
      <protection locked="0"/>
    </xf>
    <xf numFmtId="1" fontId="75" fillId="44" borderId="10" xfId="0" applyNumberFormat="1" applyFont="1" applyFill="1" applyBorder="1" applyAlignment="1" applyProtection="1">
      <alignment horizontal="center" vertical="center" wrapText="1"/>
      <protection locked="0"/>
    </xf>
    <xf numFmtId="0" fontId="73" fillId="45" borderId="10" xfId="0" applyFont="1" applyFill="1" applyBorder="1" applyAlignment="1" applyProtection="1">
      <alignment horizontal="left" vertical="center" wrapText="1"/>
      <protection locked="0"/>
    </xf>
    <xf numFmtId="0" fontId="73" fillId="45" borderId="10" xfId="0" applyFont="1" applyFill="1" applyBorder="1" applyAlignment="1" applyProtection="1">
      <alignment horizontal="center" vertical="center" wrapText="1"/>
      <protection locked="0"/>
    </xf>
    <xf numFmtId="2" fontId="73" fillId="45" borderId="10" xfId="0" applyNumberFormat="1" applyFont="1" applyFill="1" applyBorder="1" applyAlignment="1" applyProtection="1">
      <alignment horizontal="center" vertical="center" wrapText="1"/>
      <protection locked="0"/>
    </xf>
    <xf numFmtId="0" fontId="87" fillId="45" borderId="10" xfId="0" applyFont="1" applyFill="1" applyBorder="1" applyAlignment="1" applyProtection="1">
      <alignment horizontal="center" vertical="center" wrapText="1"/>
      <protection locked="0"/>
    </xf>
    <xf numFmtId="0" fontId="73" fillId="46" borderId="10" xfId="0" applyFont="1" applyFill="1" applyBorder="1" applyAlignment="1" applyProtection="1">
      <alignment horizontal="left" vertical="center" wrapText="1"/>
      <protection locked="0"/>
    </xf>
    <xf numFmtId="0" fontId="73" fillId="46" borderId="10" xfId="0" applyFont="1" applyFill="1" applyBorder="1" applyAlignment="1" applyProtection="1">
      <alignment horizontal="center" vertical="center" wrapText="1"/>
      <protection locked="0"/>
    </xf>
    <xf numFmtId="0" fontId="87" fillId="46" borderId="10" xfId="0" applyFont="1" applyFill="1" applyBorder="1" applyAlignment="1" applyProtection="1">
      <alignment horizontal="center" vertical="center" wrapText="1"/>
      <protection locked="0"/>
    </xf>
    <xf numFmtId="0" fontId="73" fillId="39" borderId="10" xfId="0" applyFont="1" applyFill="1" applyBorder="1" applyAlignment="1">
      <alignment horizontal="center" vertical="center" wrapText="1"/>
    </xf>
    <xf numFmtId="0" fontId="72" fillId="39" borderId="13" xfId="0" applyFont="1" applyFill="1" applyBorder="1" applyAlignment="1" applyProtection="1">
      <alignment/>
      <protection locked="0"/>
    </xf>
    <xf numFmtId="0" fontId="88" fillId="39" borderId="10" xfId="0" applyFont="1" applyFill="1" applyBorder="1" applyAlignment="1" applyProtection="1">
      <alignment horizontal="center"/>
      <protection locked="0"/>
    </xf>
    <xf numFmtId="0" fontId="72" fillId="39" borderId="12" xfId="0" applyFont="1" applyFill="1" applyBorder="1" applyAlignment="1">
      <alignment/>
    </xf>
    <xf numFmtId="0" fontId="72" fillId="39" borderId="0" xfId="0" applyFont="1" applyFill="1" applyAlignment="1" applyProtection="1">
      <alignment/>
      <protection locked="0"/>
    </xf>
    <xf numFmtId="2" fontId="73" fillId="46" borderId="10" xfId="0" applyNumberFormat="1" applyFont="1" applyFill="1" applyBorder="1" applyAlignment="1" applyProtection="1">
      <alignment horizontal="center" vertical="center" wrapText="1"/>
      <protection locked="0"/>
    </xf>
    <xf numFmtId="0" fontId="75" fillId="47" borderId="10" xfId="0" applyFont="1" applyFill="1" applyBorder="1" applyAlignment="1" applyProtection="1">
      <alignment horizontal="center" vertical="center" wrapText="1"/>
      <protection locked="0"/>
    </xf>
    <xf numFmtId="0" fontId="89" fillId="47" borderId="10" xfId="0" applyFont="1" applyFill="1" applyBorder="1" applyAlignment="1" applyProtection="1">
      <alignment horizontal="center" vertical="center" wrapText="1"/>
      <protection locked="0"/>
    </xf>
    <xf numFmtId="0" fontId="89" fillId="47" borderId="10" xfId="0" applyFont="1" applyFill="1" applyBorder="1" applyAlignment="1" applyProtection="1">
      <alignment horizontal="left" vertical="center" wrapText="1"/>
      <protection locked="0"/>
    </xf>
    <xf numFmtId="0" fontId="90" fillId="47" borderId="10" xfId="0" applyFont="1" applyFill="1" applyBorder="1" applyAlignment="1" applyProtection="1">
      <alignment horizontal="center" vertical="center" wrapText="1"/>
      <protection locked="0"/>
    </xf>
    <xf numFmtId="2" fontId="89" fillId="47" borderId="10" xfId="0" applyNumberFormat="1" applyFont="1" applyFill="1" applyBorder="1" applyAlignment="1" applyProtection="1">
      <alignment horizontal="center" vertical="center" wrapText="1"/>
      <protection locked="0"/>
    </xf>
    <xf numFmtId="0" fontId="73" fillId="44" borderId="10" xfId="0" applyFont="1" applyFill="1" applyBorder="1" applyAlignment="1" applyProtection="1">
      <alignment horizontal="center" vertical="center" wrapText="1"/>
      <protection locked="0"/>
    </xf>
    <xf numFmtId="0" fontId="75" fillId="46" borderId="10" xfId="0" applyFont="1" applyFill="1" applyBorder="1" applyAlignment="1" applyProtection="1">
      <alignment horizontal="center" vertical="center" wrapText="1"/>
      <protection locked="0"/>
    </xf>
    <xf numFmtId="0" fontId="91" fillId="39" borderId="10" xfId="0" applyFont="1" applyFill="1" applyBorder="1" applyAlignment="1" applyProtection="1">
      <alignment horizontal="center" vertical="center" wrapText="1"/>
      <protection locked="0"/>
    </xf>
    <xf numFmtId="4" fontId="75" fillId="44" borderId="10" xfId="0" applyNumberFormat="1" applyFont="1" applyFill="1" applyBorder="1" applyAlignment="1" applyProtection="1">
      <alignment horizontal="center" vertical="center" wrapText="1"/>
      <protection locked="0"/>
    </xf>
    <xf numFmtId="0" fontId="89" fillId="47" borderId="10" xfId="0" applyFont="1" applyFill="1" applyBorder="1" applyAlignment="1" applyProtection="1">
      <alignment horizontal="center" wrapText="1"/>
      <protection locked="0"/>
    </xf>
    <xf numFmtId="4" fontId="73" fillId="45" borderId="10" xfId="0" applyNumberFormat="1" applyFont="1" applyFill="1" applyBorder="1" applyAlignment="1" applyProtection="1">
      <alignment horizontal="center" vertical="center" wrapText="1"/>
      <protection locked="0"/>
    </xf>
    <xf numFmtId="4" fontId="73" fillId="46" borderId="10" xfId="0" applyNumberFormat="1" applyFont="1" applyFill="1" applyBorder="1" applyAlignment="1" applyProtection="1">
      <alignment horizontal="center" vertical="center" wrapText="1"/>
      <protection locked="0"/>
    </xf>
    <xf numFmtId="4" fontId="89" fillId="47" borderId="10" xfId="0" applyNumberFormat="1" applyFont="1" applyFill="1" applyBorder="1" applyAlignment="1" applyProtection="1">
      <alignment horizontal="center" vertical="center" wrapText="1"/>
      <protection locked="0"/>
    </xf>
    <xf numFmtId="4" fontId="89" fillId="47" borderId="10" xfId="0" applyNumberFormat="1" applyFont="1" applyFill="1" applyBorder="1" applyAlignment="1" applyProtection="1">
      <alignment horizontal="center" wrapText="1"/>
      <protection locked="0"/>
    </xf>
    <xf numFmtId="0" fontId="75" fillId="44" borderId="10" xfId="0" applyFont="1" applyFill="1" applyBorder="1" applyAlignment="1" applyProtection="1">
      <alignment horizontal="center" wrapText="1"/>
      <protection locked="0"/>
    </xf>
    <xf numFmtId="1" fontId="73" fillId="45" borderId="10" xfId="0" applyNumberFormat="1" applyFont="1" applyFill="1" applyBorder="1" applyAlignment="1" applyProtection="1">
      <alignment horizontal="center" wrapText="1"/>
      <protection locked="0"/>
    </xf>
    <xf numFmtId="4" fontId="73" fillId="45" borderId="10" xfId="0" applyNumberFormat="1" applyFont="1" applyFill="1" applyBorder="1" applyAlignment="1" applyProtection="1">
      <alignment horizontal="center" wrapText="1"/>
      <protection locked="0"/>
    </xf>
    <xf numFmtId="0" fontId="25" fillId="33" borderId="13" xfId="0" applyFont="1" applyFill="1" applyBorder="1" applyAlignment="1" applyProtection="1">
      <alignment horizontal="center"/>
      <protection locked="0"/>
    </xf>
    <xf numFmtId="0" fontId="25" fillId="33" borderId="10" xfId="0" applyFont="1" applyFill="1" applyBorder="1" applyAlignment="1" applyProtection="1">
      <alignment horizontal="center"/>
      <protection locked="0"/>
    </xf>
    <xf numFmtId="0" fontId="39" fillId="33" borderId="17" xfId="0" applyFont="1" applyFill="1" applyBorder="1" applyAlignment="1">
      <alignment horizontal="center"/>
    </xf>
    <xf numFmtId="0" fontId="73" fillId="45" borderId="10" xfId="0" applyFont="1" applyFill="1" applyBorder="1" applyAlignment="1" applyProtection="1">
      <alignment horizontal="center" vertical="center" wrapText="1"/>
      <protection locked="0"/>
    </xf>
    <xf numFmtId="0" fontId="89" fillId="47" borderId="10" xfId="0" applyFont="1" applyFill="1" applyBorder="1" applyAlignment="1" applyProtection="1">
      <alignment horizontal="center" vertical="center" wrapText="1"/>
      <protection locked="0"/>
    </xf>
    <xf numFmtId="0" fontId="39" fillId="41" borderId="17" xfId="70" applyFont="1" applyFill="1" applyBorder="1" applyAlignment="1">
      <alignment horizontal="center" wrapText="1"/>
      <protection/>
    </xf>
    <xf numFmtId="176" fontId="8" fillId="0" borderId="17" xfId="70" applyNumberFormat="1" applyFont="1" applyBorder="1" applyAlignment="1">
      <alignment horizontal="center"/>
      <protection/>
    </xf>
    <xf numFmtId="170" fontId="85" fillId="0" borderId="10" xfId="0" applyNumberFormat="1" applyFont="1" applyBorder="1" applyAlignment="1">
      <alignment horizontal="left"/>
    </xf>
    <xf numFmtId="2" fontId="75" fillId="44" borderId="10" xfId="0" applyNumberFormat="1" applyFont="1" applyFill="1" applyBorder="1" applyAlignment="1" applyProtection="1">
      <alignment horizontal="center" vertical="center" wrapText="1"/>
      <protection locked="0"/>
    </xf>
    <xf numFmtId="168" fontId="72" fillId="0" borderId="10" xfId="42" applyFont="1" applyBorder="1" applyAlignment="1" applyProtection="1">
      <alignment horizontal="center" vertical="center"/>
      <protection hidden="1"/>
    </xf>
    <xf numFmtId="0" fontId="73" fillId="0" borderId="0" xfId="0" applyFont="1" applyAlignment="1" applyProtection="1">
      <alignment/>
      <protection locked="0"/>
    </xf>
    <xf numFmtId="4" fontId="73" fillId="33" borderId="0" xfId="0" applyNumberFormat="1" applyFont="1" applyFill="1" applyAlignment="1" applyProtection="1">
      <alignment horizontal="center"/>
      <protection locked="0"/>
    </xf>
    <xf numFmtId="0" fontId="72" fillId="0" borderId="10" xfId="0" applyFont="1" applyBorder="1" applyAlignment="1" applyProtection="1">
      <alignment vertical="center"/>
      <protection locked="0"/>
    </xf>
    <xf numFmtId="168" fontId="72" fillId="0" borderId="15" xfId="42" applyFont="1" applyBorder="1" applyAlignment="1" applyProtection="1">
      <alignment horizontal="center" vertical="center"/>
      <protection hidden="1"/>
    </xf>
    <xf numFmtId="185" fontId="72" fillId="0" borderId="15" xfId="86" applyNumberFormat="1" applyFont="1" applyBorder="1" applyAlignment="1" applyProtection="1">
      <alignment horizontal="center" vertical="center"/>
      <protection hidden="1"/>
    </xf>
    <xf numFmtId="9" fontId="72" fillId="0" borderId="15" xfId="86" applyFont="1" applyBorder="1" applyAlignment="1" applyProtection="1">
      <alignment horizontal="center" vertical="center"/>
      <protection hidden="1"/>
    </xf>
    <xf numFmtId="0" fontId="73" fillId="0" borderId="10" xfId="0" applyFont="1" applyBorder="1" applyAlignment="1" applyProtection="1">
      <alignment vertical="center"/>
      <protection locked="0"/>
    </xf>
    <xf numFmtId="9" fontId="72" fillId="0" borderId="10" xfId="86" applyFont="1" applyBorder="1" applyAlignment="1" applyProtection="1">
      <alignment horizontal="center" vertical="center"/>
      <protection hidden="1"/>
    </xf>
    <xf numFmtId="9" fontId="73" fillId="33" borderId="13" xfId="86" applyFont="1" applyFill="1" applyBorder="1" applyAlignment="1" applyProtection="1">
      <alignment horizontal="center" vertical="center"/>
      <protection locked="0"/>
    </xf>
    <xf numFmtId="10" fontId="73" fillId="33" borderId="10" xfId="86" applyNumberFormat="1" applyFont="1" applyFill="1" applyBorder="1" applyAlignment="1" applyProtection="1">
      <alignment horizontal="center" vertical="center"/>
      <protection locked="0"/>
    </xf>
    <xf numFmtId="4" fontId="72" fillId="33" borderId="10" xfId="0" applyNumberFormat="1" applyFont="1" applyFill="1" applyBorder="1" applyAlignment="1" applyProtection="1">
      <alignment horizontal="center" vertical="center"/>
      <protection locked="0"/>
    </xf>
    <xf numFmtId="4" fontId="73" fillId="33" borderId="10" xfId="0" applyNumberFormat="1" applyFont="1" applyFill="1" applyBorder="1" applyAlignment="1" applyProtection="1">
      <alignment horizontal="center" vertical="center"/>
      <protection locked="0"/>
    </xf>
    <xf numFmtId="9" fontId="72" fillId="33" borderId="10" xfId="86" applyFont="1" applyFill="1" applyBorder="1" applyAlignment="1" applyProtection="1">
      <alignment horizontal="center" vertical="center"/>
      <protection locked="0"/>
    </xf>
    <xf numFmtId="185" fontId="72" fillId="0" borderId="10" xfId="86" applyNumberFormat="1" applyFont="1" applyBorder="1" applyAlignment="1" applyProtection="1">
      <alignment horizontal="center" vertical="center"/>
      <protection hidden="1"/>
    </xf>
    <xf numFmtId="9" fontId="73" fillId="33" borderId="10" xfId="86" applyFont="1" applyFill="1" applyBorder="1" applyAlignment="1" applyProtection="1">
      <alignment horizontal="center" vertical="center"/>
      <protection locked="0"/>
    </xf>
    <xf numFmtId="0" fontId="72" fillId="33" borderId="0" xfId="0" applyFont="1" applyFill="1" applyAlignment="1" applyProtection="1">
      <alignment vertical="center"/>
      <protection locked="0"/>
    </xf>
    <xf numFmtId="0" fontId="72" fillId="33" borderId="0" xfId="0" applyFont="1" applyFill="1" applyAlignment="1" applyProtection="1">
      <alignment vertical="center"/>
      <protection locked="0"/>
    </xf>
    <xf numFmtId="0" fontId="73" fillId="0" borderId="10" xfId="0" applyFont="1" applyBorder="1" applyAlignment="1" applyProtection="1">
      <alignment horizontal="center" vertical="center"/>
      <protection locked="0"/>
    </xf>
    <xf numFmtId="0" fontId="25" fillId="0" borderId="10" xfId="0" applyFont="1" applyBorder="1" applyAlignment="1" applyProtection="1">
      <alignment vertical="center"/>
      <protection locked="0"/>
    </xf>
    <xf numFmtId="9" fontId="28" fillId="33" borderId="10" xfId="86" applyFont="1" applyFill="1" applyBorder="1" applyAlignment="1" applyProtection="1">
      <alignment horizontal="center" vertical="center"/>
      <protection locked="0"/>
    </xf>
    <xf numFmtId="0" fontId="25" fillId="33" borderId="0" xfId="0" applyFont="1" applyFill="1" applyAlignment="1" applyProtection="1">
      <alignment vertical="center"/>
      <protection locked="0"/>
    </xf>
    <xf numFmtId="0" fontId="25" fillId="33" borderId="0" xfId="0" applyFont="1" applyFill="1" applyAlignment="1" applyProtection="1">
      <alignment vertical="center"/>
      <protection locked="0"/>
    </xf>
    <xf numFmtId="0" fontId="28" fillId="0" borderId="10" xfId="0" applyFont="1" applyBorder="1" applyAlignment="1" applyProtection="1">
      <alignment vertical="center"/>
      <protection locked="0"/>
    </xf>
    <xf numFmtId="10" fontId="28" fillId="33" borderId="10" xfId="86" applyNumberFormat="1" applyFont="1" applyFill="1" applyBorder="1" applyAlignment="1" applyProtection="1">
      <alignment horizontal="center" vertical="center"/>
      <protection locked="0"/>
    </xf>
    <xf numFmtId="4" fontId="25" fillId="33" borderId="10" xfId="0" applyNumberFormat="1" applyFont="1" applyFill="1" applyBorder="1" applyAlignment="1" applyProtection="1">
      <alignment horizontal="center" vertical="center"/>
      <protection locked="0"/>
    </xf>
    <xf numFmtId="168" fontId="25" fillId="0" borderId="10" xfId="42" applyFont="1" applyBorder="1" applyAlignment="1" applyProtection="1">
      <alignment vertical="center"/>
      <protection hidden="1"/>
    </xf>
    <xf numFmtId="185" fontId="25" fillId="0" borderId="10" xfId="86" applyNumberFormat="1" applyFont="1" applyBorder="1" applyAlignment="1" applyProtection="1">
      <alignment horizontal="center" vertical="center"/>
      <protection hidden="1"/>
    </xf>
    <xf numFmtId="168" fontId="25" fillId="0" borderId="10" xfId="42" applyFont="1" applyBorder="1" applyAlignment="1" applyProtection="1">
      <alignment horizontal="center" vertical="center"/>
      <protection hidden="1"/>
    </xf>
    <xf numFmtId="9" fontId="25" fillId="0" borderId="10" xfId="86" applyFont="1" applyBorder="1" applyAlignment="1" applyProtection="1">
      <alignment horizontal="center" vertical="center"/>
      <protection hidden="1"/>
    </xf>
    <xf numFmtId="4" fontId="48" fillId="33" borderId="10" xfId="0" applyNumberFormat="1" applyFont="1" applyFill="1" applyBorder="1" applyAlignment="1" applyProtection="1">
      <alignment horizontal="center" vertical="center"/>
      <protection locked="0"/>
    </xf>
    <xf numFmtId="4" fontId="28" fillId="33" borderId="10" xfId="0" applyNumberFormat="1" applyFont="1" applyFill="1" applyBorder="1" applyAlignment="1" applyProtection="1">
      <alignment horizontal="center" vertical="center"/>
      <protection locked="0"/>
    </xf>
    <xf numFmtId="9" fontId="25" fillId="33" borderId="10" xfId="86" applyFont="1" applyFill="1" applyBorder="1" applyAlignment="1" applyProtection="1">
      <alignment horizontal="center" vertical="center"/>
      <protection locked="0"/>
    </xf>
    <xf numFmtId="0" fontId="28" fillId="0" borderId="10" xfId="0" applyFont="1" applyBorder="1" applyAlignment="1" applyProtection="1">
      <alignment horizontal="center" vertical="center"/>
      <protection locked="0"/>
    </xf>
    <xf numFmtId="0" fontId="73" fillId="45" borderId="10" xfId="0" applyFont="1" applyFill="1" applyBorder="1" applyAlignment="1" applyProtection="1">
      <alignment horizontal="center" vertical="center" wrapText="1"/>
      <protection locked="0"/>
    </xf>
    <xf numFmtId="0" fontId="89" fillId="47" borderId="10" xfId="0" applyFont="1" applyFill="1" applyBorder="1" applyAlignment="1" applyProtection="1">
      <alignment horizontal="center" vertical="center" wrapText="1"/>
      <protection locked="0"/>
    </xf>
    <xf numFmtId="0" fontId="25" fillId="33" borderId="10" xfId="0" applyFont="1" applyFill="1" applyBorder="1" applyAlignment="1" applyProtection="1">
      <alignment horizontal="center"/>
      <protection locked="0"/>
    </xf>
    <xf numFmtId="0" fontId="73" fillId="45" borderId="10" xfId="0" applyFont="1" applyFill="1" applyBorder="1" applyAlignment="1" applyProtection="1">
      <alignment horizontal="center" vertical="center" wrapText="1"/>
      <protection locked="0"/>
    </xf>
    <xf numFmtId="0" fontId="73" fillId="46" borderId="10" xfId="0" applyFont="1" applyFill="1" applyBorder="1" applyAlignment="1" applyProtection="1">
      <alignment horizontal="center" vertical="center" wrapText="1"/>
      <protection locked="0"/>
    </xf>
    <xf numFmtId="0" fontId="81" fillId="0" borderId="0" xfId="0" applyFont="1" applyAlignment="1" applyProtection="1">
      <alignment vertical="center" wrapText="1"/>
      <protection locked="0"/>
    </xf>
    <xf numFmtId="0" fontId="25" fillId="33" borderId="10" xfId="0" applyFont="1" applyFill="1" applyBorder="1" applyAlignment="1" applyProtection="1">
      <alignment/>
      <protection locked="0"/>
    </xf>
    <xf numFmtId="0" fontId="25" fillId="33" borderId="10" xfId="0" applyFont="1" applyFill="1" applyBorder="1" applyAlignment="1" applyProtection="1">
      <alignment horizontal="center" vertical="center"/>
      <protection locked="0"/>
    </xf>
    <xf numFmtId="2" fontId="25" fillId="33" borderId="10" xfId="0" applyNumberFormat="1" applyFont="1" applyFill="1" applyBorder="1" applyAlignment="1" applyProtection="1">
      <alignment horizontal="center" vertical="center"/>
      <protection locked="0"/>
    </xf>
    <xf numFmtId="0" fontId="28" fillId="33" borderId="10" xfId="0" applyFont="1" applyFill="1" applyBorder="1" applyAlignment="1" applyProtection="1">
      <alignment horizontal="center" vertical="center"/>
      <protection locked="0"/>
    </xf>
    <xf numFmtId="0" fontId="75" fillId="44" borderId="10" xfId="0" applyFont="1" applyFill="1" applyBorder="1" applyAlignment="1" applyProtection="1">
      <alignment horizontal="center" vertical="center"/>
      <protection locked="0"/>
    </xf>
    <xf numFmtId="0" fontId="73" fillId="33" borderId="10" xfId="0" applyFont="1" applyFill="1" applyBorder="1" applyAlignment="1" applyProtection="1">
      <alignment horizontal="center"/>
      <protection locked="0"/>
    </xf>
    <xf numFmtId="0" fontId="89" fillId="47" borderId="10" xfId="0" applyFont="1" applyFill="1" applyBorder="1" applyAlignment="1" applyProtection="1">
      <alignment horizontal="center" vertical="center" wrapText="1"/>
      <protection locked="0"/>
    </xf>
    <xf numFmtId="4" fontId="75" fillId="44" borderId="10" xfId="0" applyNumberFormat="1" applyFont="1" applyFill="1" applyBorder="1" applyAlignment="1" applyProtection="1">
      <alignment horizontal="center" wrapText="1"/>
      <protection locked="0"/>
    </xf>
    <xf numFmtId="0" fontId="81" fillId="0" borderId="0" xfId="0" applyFont="1" applyAlignment="1" applyProtection="1">
      <alignment vertical="center"/>
      <protection locked="0"/>
    </xf>
    <xf numFmtId="0" fontId="72" fillId="33" borderId="10" xfId="0" applyFont="1" applyFill="1" applyBorder="1" applyAlignment="1" applyProtection="1">
      <alignment horizontal="center" vertical="center"/>
      <protection locked="0"/>
    </xf>
    <xf numFmtId="2" fontId="72" fillId="33" borderId="10" xfId="0" applyNumberFormat="1" applyFont="1" applyFill="1" applyBorder="1" applyAlignment="1" applyProtection="1">
      <alignment horizontal="center" vertical="center"/>
      <protection locked="0"/>
    </xf>
    <xf numFmtId="0" fontId="73" fillId="33" borderId="10" xfId="0" applyFont="1" applyFill="1" applyBorder="1" applyAlignment="1" applyProtection="1">
      <alignment horizontal="center" vertical="center"/>
      <protection locked="0"/>
    </xf>
    <xf numFmtId="0" fontId="73" fillId="46" borderId="10" xfId="0" applyFont="1" applyFill="1" applyBorder="1" applyAlignment="1" applyProtection="1">
      <alignment vertical="center" wrapText="1"/>
      <protection locked="0"/>
    </xf>
    <xf numFmtId="0" fontId="73" fillId="0" borderId="0" xfId="0" applyFont="1" applyAlignment="1" applyProtection="1">
      <alignment vertical="center"/>
      <protection locked="0"/>
    </xf>
    <xf numFmtId="4" fontId="73" fillId="33" borderId="0" xfId="0" applyNumberFormat="1" applyFont="1" applyFill="1" applyAlignment="1" applyProtection="1">
      <alignment horizontal="center" vertical="center"/>
      <protection locked="0"/>
    </xf>
    <xf numFmtId="0" fontId="42" fillId="0" borderId="0" xfId="0" applyFont="1" applyAlignment="1" applyProtection="1">
      <alignment vertical="center"/>
      <protection locked="0"/>
    </xf>
    <xf numFmtId="0" fontId="28" fillId="33" borderId="21" xfId="0" applyFont="1" applyFill="1" applyBorder="1" applyAlignment="1" applyProtection="1">
      <alignment/>
      <protection locked="0"/>
    </xf>
    <xf numFmtId="0" fontId="28" fillId="33" borderId="0" xfId="0" applyFont="1" applyFill="1" applyAlignment="1" applyProtection="1">
      <alignment/>
      <protection locked="0"/>
    </xf>
    <xf numFmtId="0" fontId="28" fillId="33" borderId="22" xfId="0" applyFont="1" applyFill="1" applyBorder="1" applyAlignment="1" applyProtection="1">
      <alignment/>
      <protection locked="0"/>
    </xf>
    <xf numFmtId="0" fontId="73" fillId="0" borderId="10" xfId="0" applyFont="1" applyBorder="1" applyAlignment="1" applyProtection="1">
      <alignment horizontal="center"/>
      <protection locked="0"/>
    </xf>
    <xf numFmtId="2" fontId="72" fillId="33" borderId="10" xfId="0" applyNumberFormat="1" applyFont="1" applyFill="1" applyBorder="1" applyAlignment="1" applyProtection="1">
      <alignment horizontal="center"/>
      <protection locked="0"/>
    </xf>
    <xf numFmtId="4" fontId="85" fillId="33" borderId="10" xfId="0" applyNumberFormat="1" applyFont="1" applyFill="1" applyBorder="1" applyAlignment="1">
      <alignment horizontal="center"/>
    </xf>
    <xf numFmtId="4" fontId="72" fillId="33" borderId="10" xfId="0" applyNumberFormat="1" applyFont="1" applyFill="1" applyBorder="1" applyAlignment="1">
      <alignment horizontal="center"/>
    </xf>
    <xf numFmtId="0" fontId="75" fillId="44" borderId="13" xfId="0" applyFont="1" applyFill="1" applyBorder="1" applyAlignment="1" applyProtection="1">
      <alignment horizontal="center" vertical="center" wrapText="1"/>
      <protection locked="0"/>
    </xf>
    <xf numFmtId="0" fontId="75" fillId="44" borderId="23" xfId="0" applyFont="1" applyFill="1" applyBorder="1" applyAlignment="1" applyProtection="1">
      <alignment horizontal="center" vertical="center" wrapText="1"/>
      <protection locked="0"/>
    </xf>
    <xf numFmtId="0" fontId="75" fillId="44" borderId="11" xfId="0" applyFont="1" applyFill="1" applyBorder="1" applyAlignment="1" applyProtection="1">
      <alignment horizontal="center" vertical="center" wrapText="1"/>
      <protection locked="0"/>
    </xf>
    <xf numFmtId="4" fontId="49" fillId="39" borderId="15" xfId="0" applyNumberFormat="1" applyFont="1" applyFill="1" applyBorder="1" applyAlignment="1" applyProtection="1">
      <alignment horizontal="center"/>
      <protection locked="0"/>
    </xf>
    <xf numFmtId="0" fontId="92" fillId="39" borderId="12" xfId="0" applyFont="1" applyFill="1" applyBorder="1" applyAlignment="1" applyProtection="1">
      <alignment horizontal="right"/>
      <protection locked="0"/>
    </xf>
    <xf numFmtId="2" fontId="75" fillId="44" borderId="10" xfId="0" applyNumberFormat="1" applyFont="1" applyFill="1" applyBorder="1" applyAlignment="1" applyProtection="1">
      <alignment horizontal="center" vertical="center" wrapText="1"/>
      <protection locked="0"/>
    </xf>
    <xf numFmtId="0" fontId="28" fillId="33" borderId="10" xfId="0" applyFont="1" applyFill="1" applyBorder="1" applyAlignment="1" applyProtection="1">
      <alignment horizontal="center"/>
      <protection locked="0"/>
    </xf>
    <xf numFmtId="0" fontId="75" fillId="44" borderId="24" xfId="0" applyFont="1" applyFill="1" applyBorder="1" applyAlignment="1" applyProtection="1">
      <alignment horizontal="center" vertical="center" wrapText="1"/>
      <protection locked="0"/>
    </xf>
    <xf numFmtId="0" fontId="75" fillId="44" borderId="12" xfId="0" applyFont="1" applyFill="1" applyBorder="1" applyAlignment="1" applyProtection="1">
      <alignment horizontal="center" vertical="center" wrapText="1"/>
      <protection locked="0"/>
    </xf>
    <xf numFmtId="0" fontId="75" fillId="44" borderId="25" xfId="0" applyFont="1" applyFill="1" applyBorder="1" applyAlignment="1" applyProtection="1">
      <alignment horizontal="center" vertical="center" wrapText="1"/>
      <protection locked="0"/>
    </xf>
    <xf numFmtId="0" fontId="75" fillId="44" borderId="19" xfId="0" applyFont="1" applyFill="1" applyBorder="1" applyAlignment="1" applyProtection="1">
      <alignment horizontal="center" vertical="center" wrapText="1"/>
      <protection locked="0"/>
    </xf>
    <xf numFmtId="0" fontId="75" fillId="44" borderId="18" xfId="0" applyFont="1" applyFill="1" applyBorder="1" applyAlignment="1" applyProtection="1">
      <alignment horizontal="center" vertical="center" wrapText="1"/>
      <protection locked="0"/>
    </xf>
    <xf numFmtId="0" fontId="75" fillId="44" borderId="26" xfId="0" applyFont="1" applyFill="1" applyBorder="1" applyAlignment="1" applyProtection="1">
      <alignment horizontal="center" vertical="center" wrapText="1"/>
      <protection locked="0"/>
    </xf>
    <xf numFmtId="0" fontId="92" fillId="39" borderId="0" xfId="0" applyFont="1" applyFill="1" applyAlignment="1" applyProtection="1">
      <alignment horizontal="right"/>
      <protection locked="0"/>
    </xf>
    <xf numFmtId="2" fontId="75" fillId="44" borderId="14" xfId="0" applyNumberFormat="1" applyFont="1" applyFill="1" applyBorder="1" applyAlignment="1" applyProtection="1">
      <alignment horizontal="center" vertical="center" wrapText="1"/>
      <protection locked="0"/>
    </xf>
    <xf numFmtId="2" fontId="75" fillId="44" borderId="27" xfId="0" applyNumberFormat="1" applyFont="1" applyFill="1" applyBorder="1" applyAlignment="1" applyProtection="1">
      <alignment horizontal="center" vertical="center" wrapText="1"/>
      <protection locked="0"/>
    </xf>
    <xf numFmtId="0" fontId="81" fillId="0" borderId="0" xfId="0" applyFont="1" applyAlignment="1" applyProtection="1">
      <alignment horizontal="center" vertical="center" wrapText="1"/>
      <protection locked="0"/>
    </xf>
    <xf numFmtId="0" fontId="25" fillId="33" borderId="13" xfId="0" applyFont="1" applyFill="1" applyBorder="1" applyAlignment="1" applyProtection="1">
      <alignment horizontal="center"/>
      <protection locked="0"/>
    </xf>
    <xf numFmtId="0" fontId="25" fillId="33" borderId="11" xfId="0" applyFont="1" applyFill="1" applyBorder="1" applyAlignment="1" applyProtection="1">
      <alignment horizontal="center"/>
      <protection locked="0"/>
    </xf>
    <xf numFmtId="4" fontId="49" fillId="39" borderId="28" xfId="0" applyNumberFormat="1" applyFont="1" applyFill="1" applyBorder="1" applyAlignment="1" applyProtection="1">
      <alignment horizontal="center"/>
      <protection locked="0"/>
    </xf>
    <xf numFmtId="4" fontId="49" fillId="39" borderId="29" xfId="0" applyNumberFormat="1" applyFont="1" applyFill="1" applyBorder="1" applyAlignment="1" applyProtection="1">
      <alignment horizontal="center"/>
      <protection locked="0"/>
    </xf>
    <xf numFmtId="4" fontId="49" fillId="39" borderId="30" xfId="0" applyNumberFormat="1" applyFont="1" applyFill="1" applyBorder="1" applyAlignment="1" applyProtection="1">
      <alignment horizontal="center"/>
      <protection locked="0"/>
    </xf>
    <xf numFmtId="0" fontId="75" fillId="44" borderId="10" xfId="0" applyFont="1" applyFill="1" applyBorder="1" applyAlignment="1" applyProtection="1">
      <alignment horizontal="center" vertical="center" wrapText="1"/>
      <protection locked="0"/>
    </xf>
    <xf numFmtId="0" fontId="72" fillId="39" borderId="13" xfId="0" applyFont="1" applyFill="1" applyBorder="1" applyAlignment="1" applyProtection="1">
      <alignment horizontal="center"/>
      <protection locked="0"/>
    </xf>
    <xf numFmtId="0" fontId="72" fillId="39" borderId="11" xfId="0" applyFont="1" applyFill="1" applyBorder="1" applyAlignment="1" applyProtection="1">
      <alignment horizontal="center"/>
      <protection locked="0"/>
    </xf>
    <xf numFmtId="0" fontId="73" fillId="45" borderId="14" xfId="0" applyFont="1" applyFill="1" applyBorder="1" applyAlignment="1" applyProtection="1">
      <alignment horizontal="center" vertical="center" wrapText="1"/>
      <protection locked="0"/>
    </xf>
    <xf numFmtId="0" fontId="73" fillId="45" borderId="27" xfId="0" applyFont="1" applyFill="1" applyBorder="1" applyAlignment="1" applyProtection="1">
      <alignment horizontal="center" vertical="center" wrapText="1"/>
      <protection locked="0"/>
    </xf>
    <xf numFmtId="0" fontId="77" fillId="39" borderId="0" xfId="0" applyFont="1" applyFill="1" applyAlignment="1" applyProtection="1">
      <alignment horizontal="right"/>
      <protection locked="0"/>
    </xf>
    <xf numFmtId="0" fontId="73" fillId="45" borderId="24" xfId="0" applyFont="1" applyFill="1" applyBorder="1" applyAlignment="1" applyProtection="1">
      <alignment horizontal="center" vertical="center" wrapText="1"/>
      <protection locked="0"/>
    </xf>
    <xf numFmtId="0" fontId="73" fillId="45" borderId="12" xfId="0" applyFont="1" applyFill="1" applyBorder="1" applyAlignment="1" applyProtection="1">
      <alignment horizontal="center" vertical="center" wrapText="1"/>
      <protection locked="0"/>
    </xf>
    <xf numFmtId="0" fontId="73" fillId="45" borderId="25" xfId="0" applyFont="1" applyFill="1" applyBorder="1" applyAlignment="1" applyProtection="1">
      <alignment horizontal="center" vertical="center" wrapText="1"/>
      <protection locked="0"/>
    </xf>
    <xf numFmtId="0" fontId="73" fillId="45" borderId="19" xfId="0" applyFont="1" applyFill="1" applyBorder="1" applyAlignment="1" applyProtection="1">
      <alignment horizontal="center" vertical="center" wrapText="1"/>
      <protection locked="0"/>
    </xf>
    <xf numFmtId="0" fontId="73" fillId="45" borderId="18" xfId="0" applyFont="1" applyFill="1" applyBorder="1" applyAlignment="1" applyProtection="1">
      <alignment horizontal="center" vertical="center" wrapText="1"/>
      <protection locked="0"/>
    </xf>
    <xf numFmtId="0" fontId="73" fillId="45" borderId="26" xfId="0" applyFont="1" applyFill="1" applyBorder="1" applyAlignment="1" applyProtection="1">
      <alignment horizontal="center" vertical="center" wrapText="1"/>
      <protection locked="0"/>
    </xf>
    <xf numFmtId="0" fontId="73" fillId="45" borderId="10" xfId="0" applyFont="1" applyFill="1" applyBorder="1" applyAlignment="1" applyProtection="1">
      <alignment horizontal="center" vertical="center" wrapText="1"/>
      <protection locked="0"/>
    </xf>
    <xf numFmtId="0" fontId="81" fillId="0" borderId="0" xfId="0" applyFont="1" applyAlignment="1" applyProtection="1">
      <alignment horizontal="center" vertical="center"/>
      <protection locked="0"/>
    </xf>
    <xf numFmtId="0" fontId="77" fillId="39" borderId="13" xfId="0" applyFont="1" applyFill="1" applyBorder="1" applyAlignment="1" applyProtection="1">
      <alignment horizontal="center" vertical="center"/>
      <protection locked="0"/>
    </xf>
    <xf numFmtId="0" fontId="77" fillId="39" borderId="23" xfId="0" applyFont="1" applyFill="1" applyBorder="1" applyAlignment="1" applyProtection="1">
      <alignment horizontal="center" vertical="center"/>
      <protection locked="0"/>
    </xf>
    <xf numFmtId="0" fontId="77" fillId="39" borderId="11" xfId="0" applyFont="1" applyFill="1" applyBorder="1" applyAlignment="1" applyProtection="1">
      <alignment horizontal="center" vertical="center"/>
      <protection locked="0"/>
    </xf>
    <xf numFmtId="2" fontId="88" fillId="39" borderId="13" xfId="0" applyNumberFormat="1" applyFont="1" applyFill="1" applyBorder="1" applyAlignment="1" applyProtection="1">
      <alignment horizontal="center" vertical="center"/>
      <protection locked="0"/>
    </xf>
    <xf numFmtId="2" fontId="88" fillId="39" borderId="23" xfId="0" applyNumberFormat="1" applyFont="1" applyFill="1" applyBorder="1" applyAlignment="1" applyProtection="1">
      <alignment horizontal="center" vertical="center"/>
      <protection locked="0"/>
    </xf>
    <xf numFmtId="2" fontId="88" fillId="39" borderId="11" xfId="0" applyNumberFormat="1" applyFont="1" applyFill="1" applyBorder="1" applyAlignment="1" applyProtection="1">
      <alignment horizontal="center" vertical="center"/>
      <protection locked="0"/>
    </xf>
    <xf numFmtId="0" fontId="73" fillId="45" borderId="13" xfId="0" applyFont="1" applyFill="1" applyBorder="1" applyAlignment="1" applyProtection="1">
      <alignment horizontal="center" vertical="center" wrapText="1"/>
      <protection locked="0"/>
    </xf>
    <xf numFmtId="0" fontId="73" fillId="45" borderId="23" xfId="0" applyFont="1" applyFill="1" applyBorder="1" applyAlignment="1" applyProtection="1">
      <alignment horizontal="center" vertical="center" wrapText="1"/>
      <protection locked="0"/>
    </xf>
    <xf numFmtId="0" fontId="73" fillId="45" borderId="11" xfId="0" applyFont="1" applyFill="1" applyBorder="1" applyAlignment="1" applyProtection="1">
      <alignment horizontal="center" vertical="center" wrapText="1"/>
      <protection locked="0"/>
    </xf>
    <xf numFmtId="2" fontId="77" fillId="39" borderId="13" xfId="0" applyNumberFormat="1" applyFont="1" applyFill="1" applyBorder="1" applyAlignment="1" applyProtection="1">
      <alignment horizontal="center" vertical="center"/>
      <protection locked="0"/>
    </xf>
    <xf numFmtId="2" fontId="77" fillId="39" borderId="23" xfId="0" applyNumberFormat="1" applyFont="1" applyFill="1" applyBorder="1" applyAlignment="1" applyProtection="1">
      <alignment horizontal="center" vertical="center"/>
      <protection locked="0"/>
    </xf>
    <xf numFmtId="2" fontId="77" fillId="39" borderId="11" xfId="0" applyNumberFormat="1" applyFont="1" applyFill="1" applyBorder="1" applyAlignment="1" applyProtection="1">
      <alignment horizontal="center" vertical="center"/>
      <protection locked="0"/>
    </xf>
    <xf numFmtId="170" fontId="77" fillId="39" borderId="13" xfId="0" applyNumberFormat="1" applyFont="1" applyFill="1" applyBorder="1" applyAlignment="1" applyProtection="1">
      <alignment horizontal="center" vertical="center"/>
      <protection locked="0"/>
    </xf>
    <xf numFmtId="170" fontId="77" fillId="39" borderId="23" xfId="0" applyNumberFormat="1" applyFont="1" applyFill="1" applyBorder="1" applyAlignment="1" applyProtection="1">
      <alignment horizontal="center" vertical="center"/>
      <protection locked="0"/>
    </xf>
    <xf numFmtId="170" fontId="77" fillId="39" borderId="11" xfId="0" applyNumberFormat="1" applyFont="1" applyFill="1" applyBorder="1" applyAlignment="1" applyProtection="1">
      <alignment horizontal="center" vertical="center"/>
      <protection locked="0"/>
    </xf>
    <xf numFmtId="0" fontId="73" fillId="33" borderId="13" xfId="0" applyFont="1" applyFill="1" applyBorder="1" applyAlignment="1" applyProtection="1">
      <alignment horizontal="center"/>
      <protection locked="0"/>
    </xf>
    <xf numFmtId="0" fontId="73" fillId="33" borderId="11" xfId="0" applyFont="1" applyFill="1" applyBorder="1" applyAlignment="1" applyProtection="1">
      <alignment horizontal="center"/>
      <protection locked="0"/>
    </xf>
    <xf numFmtId="0" fontId="73" fillId="46" borderId="10" xfId="0" applyFont="1" applyFill="1" applyBorder="1" applyAlignment="1" applyProtection="1">
      <alignment horizontal="center" vertical="center" wrapText="1"/>
      <protection locked="0"/>
    </xf>
    <xf numFmtId="0" fontId="73" fillId="46" borderId="14" xfId="0" applyFont="1" applyFill="1" applyBorder="1" applyAlignment="1" applyProtection="1">
      <alignment horizontal="center" vertical="center" wrapText="1"/>
      <protection locked="0"/>
    </xf>
    <xf numFmtId="0" fontId="73" fillId="46" borderId="27" xfId="0" applyFont="1" applyFill="1" applyBorder="1" applyAlignment="1" applyProtection="1">
      <alignment horizontal="center" vertical="center" wrapText="1"/>
      <protection locked="0"/>
    </xf>
    <xf numFmtId="0" fontId="78" fillId="39" borderId="0" xfId="0" applyFont="1" applyFill="1" applyAlignment="1" applyProtection="1">
      <alignment horizontal="right"/>
      <protection locked="0"/>
    </xf>
    <xf numFmtId="0" fontId="93" fillId="39" borderId="0" xfId="0" applyFont="1" applyFill="1" applyAlignment="1">
      <alignment horizontal="right"/>
    </xf>
    <xf numFmtId="4" fontId="77" fillId="39" borderId="10" xfId="0" applyNumberFormat="1" applyFont="1" applyFill="1" applyBorder="1" applyAlignment="1" applyProtection="1">
      <alignment horizontal="center"/>
      <protection locked="0"/>
    </xf>
    <xf numFmtId="0" fontId="73" fillId="46" borderId="24" xfId="0" applyFont="1" applyFill="1" applyBorder="1" applyAlignment="1" applyProtection="1">
      <alignment horizontal="center" vertical="center" wrapText="1"/>
      <protection locked="0"/>
    </xf>
    <xf numFmtId="0" fontId="73" fillId="46" borderId="12" xfId="0" applyFont="1" applyFill="1" applyBorder="1" applyAlignment="1" applyProtection="1">
      <alignment horizontal="center" vertical="center" wrapText="1"/>
      <protection locked="0"/>
    </xf>
    <xf numFmtId="0" fontId="73" fillId="46" borderId="25" xfId="0" applyFont="1" applyFill="1" applyBorder="1" applyAlignment="1" applyProtection="1">
      <alignment horizontal="center" vertical="center" wrapText="1"/>
      <protection locked="0"/>
    </xf>
    <xf numFmtId="0" fontId="73" fillId="46" borderId="19" xfId="0" applyFont="1" applyFill="1" applyBorder="1" applyAlignment="1" applyProtection="1">
      <alignment horizontal="center" vertical="center" wrapText="1"/>
      <protection locked="0"/>
    </xf>
    <xf numFmtId="0" fontId="73" fillId="46" borderId="18" xfId="0" applyFont="1" applyFill="1" applyBorder="1" applyAlignment="1" applyProtection="1">
      <alignment horizontal="center" vertical="center" wrapText="1"/>
      <protection locked="0"/>
    </xf>
    <xf numFmtId="0" fontId="73" fillId="46" borderId="26" xfId="0" applyFont="1" applyFill="1" applyBorder="1" applyAlignment="1" applyProtection="1">
      <alignment horizontal="center" vertical="center" wrapText="1"/>
      <protection locked="0"/>
    </xf>
    <xf numFmtId="0" fontId="72" fillId="39" borderId="10" xfId="0" applyFont="1" applyFill="1" applyBorder="1" applyAlignment="1" applyProtection="1">
      <alignment horizontal="center"/>
      <protection locked="0"/>
    </xf>
    <xf numFmtId="4" fontId="88" fillId="39" borderId="13" xfId="0" applyNumberFormat="1" applyFont="1" applyFill="1" applyBorder="1" applyAlignment="1" applyProtection="1">
      <alignment horizontal="center"/>
      <protection locked="0"/>
    </xf>
    <xf numFmtId="4" fontId="88" fillId="39" borderId="23" xfId="0" applyNumberFormat="1" applyFont="1" applyFill="1" applyBorder="1" applyAlignment="1" applyProtection="1">
      <alignment horizontal="center"/>
      <protection locked="0"/>
    </xf>
    <xf numFmtId="4" fontId="88" fillId="39" borderId="11" xfId="0" applyNumberFormat="1" applyFont="1" applyFill="1" applyBorder="1" applyAlignment="1" applyProtection="1">
      <alignment horizontal="center"/>
      <protection locked="0"/>
    </xf>
    <xf numFmtId="0" fontId="73" fillId="33" borderId="23" xfId="0" applyFont="1" applyFill="1" applyBorder="1" applyAlignment="1" applyProtection="1">
      <alignment horizontal="center"/>
      <protection locked="0"/>
    </xf>
    <xf numFmtId="0" fontId="72" fillId="33" borderId="13" xfId="0" applyFont="1" applyFill="1" applyBorder="1" applyAlignment="1" applyProtection="1">
      <alignment horizontal="center"/>
      <protection locked="0"/>
    </xf>
    <xf numFmtId="0" fontId="72" fillId="33" borderId="23" xfId="0" applyFont="1" applyFill="1" applyBorder="1" applyAlignment="1" applyProtection="1">
      <alignment horizontal="center"/>
      <protection locked="0"/>
    </xf>
    <xf numFmtId="0" fontId="72" fillId="33" borderId="11" xfId="0" applyFont="1" applyFill="1" applyBorder="1" applyAlignment="1" applyProtection="1">
      <alignment horizontal="center"/>
      <protection locked="0"/>
    </xf>
    <xf numFmtId="175" fontId="28" fillId="33" borderId="10" xfId="0" applyNumberFormat="1" applyFont="1" applyFill="1" applyBorder="1" applyAlignment="1" applyProtection="1">
      <alignment horizontal="center"/>
      <protection locked="0"/>
    </xf>
    <xf numFmtId="0" fontId="28" fillId="33" borderId="13" xfId="0" applyFont="1" applyFill="1" applyBorder="1" applyAlignment="1" applyProtection="1">
      <alignment horizontal="center"/>
      <protection locked="0"/>
    </xf>
    <xf numFmtId="0" fontId="28" fillId="33" borderId="11" xfId="0" applyFont="1" applyFill="1" applyBorder="1" applyAlignment="1" applyProtection="1">
      <alignment horizontal="center"/>
      <protection locked="0"/>
    </xf>
    <xf numFmtId="0" fontId="28" fillId="33" borderId="23" xfId="0" applyFont="1" applyFill="1" applyBorder="1" applyAlignment="1" applyProtection="1">
      <alignment horizontal="center"/>
      <protection locked="0"/>
    </xf>
    <xf numFmtId="0" fontId="42" fillId="0" borderId="0" xfId="0" applyFont="1" applyAlignment="1" applyProtection="1">
      <alignment horizontal="center" vertical="center"/>
      <protection locked="0"/>
    </xf>
    <xf numFmtId="0" fontId="89" fillId="47" borderId="14" xfId="0" applyFont="1" applyFill="1" applyBorder="1" applyAlignment="1" applyProtection="1">
      <alignment horizontal="center" vertical="center" wrapText="1"/>
      <protection locked="0"/>
    </xf>
    <xf numFmtId="0" fontId="89" fillId="47" borderId="27" xfId="0" applyFont="1" applyFill="1" applyBorder="1" applyAlignment="1" applyProtection="1">
      <alignment horizontal="center" vertical="center" wrapText="1"/>
      <protection locked="0"/>
    </xf>
    <xf numFmtId="0" fontId="89" fillId="47" borderId="10" xfId="0" applyFont="1" applyFill="1" applyBorder="1" applyAlignment="1" applyProtection="1">
      <alignment horizontal="center" vertical="center" wrapText="1"/>
      <protection locked="0"/>
    </xf>
    <xf numFmtId="0" fontId="89" fillId="47" borderId="24" xfId="0" applyFont="1" applyFill="1" applyBorder="1" applyAlignment="1" applyProtection="1">
      <alignment horizontal="center" vertical="center" wrapText="1"/>
      <protection locked="0"/>
    </xf>
    <xf numFmtId="0" fontId="89" fillId="47" borderId="12" xfId="0" applyFont="1" applyFill="1" applyBorder="1" applyAlignment="1" applyProtection="1">
      <alignment horizontal="center" vertical="center" wrapText="1"/>
      <protection locked="0"/>
    </xf>
    <xf numFmtId="0" fontId="89" fillId="47" borderId="25" xfId="0" applyFont="1" applyFill="1" applyBorder="1" applyAlignment="1" applyProtection="1">
      <alignment horizontal="center" vertical="center" wrapText="1"/>
      <protection locked="0"/>
    </xf>
    <xf numFmtId="0" fontId="89" fillId="47" borderId="19" xfId="0" applyFont="1" applyFill="1" applyBorder="1" applyAlignment="1" applyProtection="1">
      <alignment horizontal="center" vertical="center" wrapText="1"/>
      <protection locked="0"/>
    </xf>
    <xf numFmtId="0" fontId="89" fillId="47" borderId="18" xfId="0" applyFont="1" applyFill="1" applyBorder="1" applyAlignment="1" applyProtection="1">
      <alignment horizontal="center" vertical="center" wrapText="1"/>
      <protection locked="0"/>
    </xf>
    <xf numFmtId="0" fontId="89" fillId="47" borderId="26" xfId="0" applyFont="1" applyFill="1" applyBorder="1" applyAlignment="1" applyProtection="1">
      <alignment horizontal="center" vertical="center" wrapText="1"/>
      <protection locked="0"/>
    </xf>
    <xf numFmtId="0" fontId="89" fillId="47" borderId="31" xfId="0" applyFont="1" applyFill="1" applyBorder="1" applyAlignment="1" applyProtection="1">
      <alignment horizontal="center" vertical="center" wrapText="1"/>
      <protection locked="0"/>
    </xf>
    <xf numFmtId="4" fontId="49" fillId="39" borderId="10" xfId="0" applyNumberFormat="1" applyFont="1" applyFill="1" applyBorder="1" applyAlignment="1" applyProtection="1">
      <alignment horizontal="center"/>
      <protection locked="0"/>
    </xf>
    <xf numFmtId="0" fontId="78" fillId="33" borderId="0" xfId="0" applyFont="1" applyFill="1" applyAlignment="1" applyProtection="1">
      <alignment horizontal="right"/>
      <protection locked="0"/>
    </xf>
    <xf numFmtId="0" fontId="94" fillId="0" borderId="0" xfId="0" applyFont="1" applyAlignment="1">
      <alignment horizontal="right"/>
    </xf>
    <xf numFmtId="0" fontId="78" fillId="33" borderId="12" xfId="0" applyFont="1" applyFill="1" applyBorder="1" applyAlignment="1" applyProtection="1">
      <alignment horizontal="right"/>
      <protection locked="0"/>
    </xf>
    <xf numFmtId="0" fontId="94" fillId="0" borderId="12" xfId="0" applyFont="1" applyBorder="1" applyAlignment="1">
      <alignment horizontal="right"/>
    </xf>
    <xf numFmtId="0" fontId="25" fillId="39" borderId="10" xfId="0" applyFont="1" applyFill="1" applyBorder="1" applyAlignment="1" applyProtection="1">
      <alignment horizontal="center"/>
      <protection locked="0"/>
    </xf>
    <xf numFmtId="174" fontId="28" fillId="33" borderId="10" xfId="0" applyNumberFormat="1" applyFont="1" applyFill="1" applyBorder="1" applyAlignment="1" applyProtection="1">
      <alignment horizontal="center"/>
      <protection locked="0"/>
    </xf>
    <xf numFmtId="4" fontId="49" fillId="39" borderId="13" xfId="0" applyNumberFormat="1" applyFont="1" applyFill="1" applyBorder="1" applyAlignment="1" applyProtection="1">
      <alignment horizontal="center" vertical="center"/>
      <protection locked="0"/>
    </xf>
    <xf numFmtId="4" fontId="49" fillId="39" borderId="23" xfId="0" applyNumberFormat="1" applyFont="1" applyFill="1" applyBorder="1" applyAlignment="1" applyProtection="1">
      <alignment horizontal="center" vertical="center"/>
      <protection locked="0"/>
    </xf>
    <xf numFmtId="4" fontId="49" fillId="39" borderId="11" xfId="0" applyNumberFormat="1" applyFont="1" applyFill="1" applyBorder="1" applyAlignment="1" applyProtection="1">
      <alignment horizontal="center" vertical="center"/>
      <protection locked="0"/>
    </xf>
    <xf numFmtId="0" fontId="8" fillId="33" borderId="0" xfId="0" applyFont="1" applyFill="1" applyAlignment="1">
      <alignment horizontal="center"/>
    </xf>
    <xf numFmtId="0" fontId="39" fillId="48" borderId="17" xfId="0" applyFont="1" applyFill="1" applyBorder="1" applyAlignment="1">
      <alignment horizontal="center" vertical="center" wrapText="1"/>
    </xf>
    <xf numFmtId="0" fontId="79" fillId="42" borderId="17" xfId="0" applyFont="1" applyFill="1" applyBorder="1" applyAlignment="1">
      <alignment horizontal="center" wrapText="1"/>
    </xf>
    <xf numFmtId="0" fontId="39" fillId="48" borderId="32" xfId="0" applyFont="1" applyFill="1" applyBorder="1" applyAlignment="1">
      <alignment horizontal="center" vertical="center" wrapText="1"/>
    </xf>
    <xf numFmtId="0" fontId="39" fillId="48" borderId="33" xfId="0" applyFont="1" applyFill="1" applyBorder="1" applyAlignment="1">
      <alignment horizontal="center" vertical="center" wrapText="1"/>
    </xf>
    <xf numFmtId="0" fontId="39" fillId="48" borderId="34" xfId="0" applyFont="1" applyFill="1" applyBorder="1" applyAlignment="1">
      <alignment horizontal="center" vertical="center" wrapText="1"/>
    </xf>
  </cellXfs>
  <cellStyles count="8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1" xfId="45"/>
    <cellStyle name="Comma 2" xfId="46"/>
    <cellStyle name="Comma 2 2" xfId="47"/>
    <cellStyle name="Comma 2_final+other_targets US (2)" xfId="48"/>
    <cellStyle name="Comma 3" xfId="49"/>
    <cellStyle name="Comma 3 2" xfId="50"/>
    <cellStyle name="Comma 4" xfId="51"/>
    <cellStyle name="Comma 5" xfId="52"/>
    <cellStyle name="Comma 6" xfId="53"/>
    <cellStyle name="Comma 7" xfId="54"/>
    <cellStyle name="Comma 8" xfId="55"/>
    <cellStyle name="Comma 9" xfId="56"/>
    <cellStyle name="Currency" xfId="57"/>
    <cellStyle name="Currency [0]" xfId="58"/>
    <cellStyle name="Explanatory Text" xfId="59"/>
    <cellStyle name="Followed Hyperlink" xfId="60"/>
    <cellStyle name="Good" xfId="61"/>
    <cellStyle name="Heading 1" xfId="62"/>
    <cellStyle name="Heading 2" xfId="63"/>
    <cellStyle name="Heading 3" xfId="64"/>
    <cellStyle name="Heading 4" xfId="65"/>
    <cellStyle name="Hyperlink" xfId="66"/>
    <cellStyle name="Input" xfId="67"/>
    <cellStyle name="Linked Cell" xfId="68"/>
    <cellStyle name="Neutral" xfId="69"/>
    <cellStyle name="Normal 2" xfId="70"/>
    <cellStyle name="Normal 2 2" xfId="71"/>
    <cellStyle name="Normal 3" xfId="72"/>
    <cellStyle name="Normal 3 2" xfId="73"/>
    <cellStyle name="Normal 3 3" xfId="74"/>
    <cellStyle name="Normal 3_Ostoinostena shema_July_2013" xfId="75"/>
    <cellStyle name="Normal 4" xfId="76"/>
    <cellStyle name="Normal 4 2" xfId="77"/>
    <cellStyle name="Normal 5" xfId="78"/>
    <cellStyle name="Normal 6" xfId="79"/>
    <cellStyle name="Normal 7" xfId="80"/>
    <cellStyle name="Normal 8" xfId="81"/>
    <cellStyle name="Normal 9" xfId="82"/>
    <cellStyle name="Normal_Prices RTG_ 11-2011-2" xfId="83"/>
    <cellStyle name="Note" xfId="84"/>
    <cellStyle name="Output" xfId="85"/>
    <cellStyle name="Percent" xfId="86"/>
    <cellStyle name="Percent 2" xfId="87"/>
    <cellStyle name="Percent 2 2" xfId="88"/>
    <cellStyle name="Percent 2 3" xfId="89"/>
    <cellStyle name="Percent 3" xfId="90"/>
    <cellStyle name="Percent 3 2" xfId="91"/>
    <cellStyle name="Percent 3 3" xfId="92"/>
    <cellStyle name="Percent 4" xfId="93"/>
    <cellStyle name="Percent 5" xfId="94"/>
    <cellStyle name="Title" xfId="95"/>
    <cellStyle name="Total" xfId="96"/>
    <cellStyle name="Warning Text" xfId="97"/>
  </cellStyles>
  <dxfs count="63"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C00000"/>
        </patternFill>
      </fill>
    </dxf>
    <dxf>
      <font>
        <color indexed="9"/>
      </font>
    </dxf>
    <dxf>
      <font>
        <color indexed="9"/>
      </font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7030A0"/>
        </patternFill>
      </fill>
    </dxf>
    <dxf>
      <font>
        <color auto="1"/>
      </font>
      <fill>
        <patternFill>
          <bgColor rgb="FF00B0F0"/>
        </patternFill>
      </fill>
    </dxf>
    <dxf>
      <font>
        <color auto="1"/>
      </font>
      <fill>
        <patternFill>
          <bgColor rgb="FF00B0F0"/>
        </patternFill>
      </fill>
    </dxf>
    <dxf>
      <font>
        <color theme="0"/>
      </font>
      <fill>
        <patternFill>
          <bgColor rgb="FF7030A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0070C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00B050"/>
        </patternFill>
      </fill>
    </dxf>
    <dxf>
      <font>
        <color indexed="9"/>
      </font>
    </dxf>
    <dxf>
      <font>
        <color indexed="9"/>
      </font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C00000"/>
        </patternFill>
      </fill>
    </dxf>
    <dxf>
      <font>
        <color indexed="9"/>
      </font>
    </dxf>
    <dxf>
      <font>
        <color indexed="9"/>
      </font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7030A0"/>
        </patternFill>
      </fill>
    </dxf>
    <dxf>
      <font>
        <color auto="1"/>
      </font>
      <fill>
        <patternFill>
          <bgColor rgb="FF00B0F0"/>
        </patternFill>
      </fill>
    </dxf>
    <dxf>
      <font>
        <color auto="1"/>
      </font>
      <fill>
        <patternFill>
          <bgColor rgb="FF00B0F0"/>
        </patternFill>
      </fill>
    </dxf>
    <dxf>
      <font>
        <color theme="0"/>
      </font>
      <fill>
        <patternFill>
          <bgColor rgb="FF7030A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B050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C00000"/>
        </patternFill>
      </fill>
    </dxf>
    <dxf>
      <font>
        <color indexed="9"/>
      </font>
    </dxf>
    <dxf>
      <font>
        <color indexed="9"/>
      </font>
    </dxf>
    <dxf>
      <font>
        <color auto="1"/>
      </font>
      <fill>
        <patternFill>
          <bgColor rgb="FF00B0F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00B0F0"/>
        </patternFill>
      </fill>
    </dxf>
    <dxf>
      <font>
        <color theme="0"/>
      </font>
      <fill>
        <patternFill>
          <bgColor rgb="FF7030A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00B0F0"/>
        </patternFill>
      </fill>
    </dxf>
    <dxf>
      <font>
        <color indexed="9"/>
      </font>
    </dxf>
    <dxf>
      <font>
        <color indexed="9"/>
      </font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C00000"/>
        </patternFill>
      </fill>
    </dxf>
    <dxf>
      <font>
        <color indexed="9"/>
      </font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00B0F0"/>
        </patternFill>
      </fill>
    </dxf>
    <dxf>
      <font>
        <color theme="0"/>
      </font>
      <fill>
        <patternFill>
          <bgColor rgb="FF7030A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B050"/>
        </patternFill>
      </fill>
    </dxf>
    <dxf>
      <font>
        <color auto="1"/>
      </font>
      <fill>
        <patternFill>
          <bgColor rgb="FF00B0F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704850</xdr:colOff>
      <xdr:row>0</xdr:row>
      <xdr:rowOff>47625</xdr:rowOff>
    </xdr:from>
    <xdr:to>
      <xdr:col>6</xdr:col>
      <xdr:colOff>619125</xdr:colOff>
      <xdr:row>0</xdr:row>
      <xdr:rowOff>647700</xdr:rowOff>
    </xdr:to>
    <xdr:pic>
      <xdr:nvPicPr>
        <xdr:cNvPr id="1" name="Picture 3" descr="БНТ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43725" y="47625"/>
          <a:ext cx="15716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676275</xdr:colOff>
      <xdr:row>0</xdr:row>
      <xdr:rowOff>76200</xdr:rowOff>
    </xdr:from>
    <xdr:to>
      <xdr:col>6</xdr:col>
      <xdr:colOff>781050</xdr:colOff>
      <xdr:row>0</xdr:row>
      <xdr:rowOff>666750</xdr:rowOff>
    </xdr:to>
    <xdr:pic>
      <xdr:nvPicPr>
        <xdr:cNvPr id="1" name="Picture 2" descr="БНТ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91325" y="76200"/>
          <a:ext cx="15906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685800</xdr:colOff>
      <xdr:row>0</xdr:row>
      <xdr:rowOff>95250</xdr:rowOff>
    </xdr:from>
    <xdr:to>
      <xdr:col>6</xdr:col>
      <xdr:colOff>590550</xdr:colOff>
      <xdr:row>0</xdr:row>
      <xdr:rowOff>657225</xdr:rowOff>
    </xdr:to>
    <xdr:pic>
      <xdr:nvPicPr>
        <xdr:cNvPr id="1" name="Picture 2" descr="БНТ H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77075" y="95250"/>
          <a:ext cx="15525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762000</xdr:colOff>
      <xdr:row>0</xdr:row>
      <xdr:rowOff>76200</xdr:rowOff>
    </xdr:from>
    <xdr:to>
      <xdr:col>6</xdr:col>
      <xdr:colOff>771525</xdr:colOff>
      <xdr:row>0</xdr:row>
      <xdr:rowOff>695325</xdr:rowOff>
    </xdr:to>
    <xdr:pic>
      <xdr:nvPicPr>
        <xdr:cNvPr id="1" name="Picture 2" descr="BNT Worl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76200"/>
          <a:ext cx="16192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64D0A"/>
    <pageSetUpPr fitToPage="1"/>
  </sheetPr>
  <dimension ref="A1:BS73"/>
  <sheetViews>
    <sheetView showGridLines="0" tabSelected="1" zoomScale="85" zoomScaleNormal="85" workbookViewId="0" topLeftCell="A1">
      <selection activeCell="K1" sqref="K1:Y16384"/>
    </sheetView>
  </sheetViews>
  <sheetFormatPr defaultColWidth="9.140625" defaultRowHeight="12.75"/>
  <cols>
    <col min="1" max="1" width="42.140625" style="20" customWidth="1"/>
    <col min="2" max="2" width="22.28125" style="20" customWidth="1"/>
    <col min="3" max="3" width="16.421875" style="20" customWidth="1"/>
    <col min="4" max="4" width="12.7109375" style="20" customWidth="1"/>
    <col min="5" max="5" width="12.8515625" style="20" customWidth="1"/>
    <col min="6" max="6" width="12.00390625" style="20" customWidth="1"/>
    <col min="7" max="7" width="13.421875" style="20" customWidth="1"/>
    <col min="8" max="8" width="9.7109375" style="20" customWidth="1"/>
    <col min="9" max="9" width="8.140625" style="20" customWidth="1"/>
    <col min="10" max="10" width="11.7109375" style="20" customWidth="1"/>
    <col min="11" max="25" width="6.8515625" style="20" hidden="1" customWidth="1"/>
    <col min="26" max="56" width="3.8515625" style="20" customWidth="1"/>
    <col min="57" max="57" width="16.00390625" style="20" customWidth="1"/>
    <col min="58" max="58" width="13.57421875" style="20" hidden="1" customWidth="1"/>
    <col min="59" max="59" width="12.28125" style="20" customWidth="1"/>
    <col min="60" max="60" width="13.421875" style="20" customWidth="1"/>
    <col min="61" max="61" width="12.8515625" style="20" customWidth="1"/>
    <col min="62" max="62" width="12.421875" style="20" customWidth="1"/>
    <col min="63" max="63" width="12.28125" style="20" customWidth="1"/>
    <col min="64" max="64" width="12.57421875" style="20" customWidth="1"/>
    <col min="65" max="66" width="9.28125" style="20" hidden="1" customWidth="1"/>
    <col min="67" max="67" width="9.140625" style="20" hidden="1" customWidth="1"/>
    <col min="68" max="68" width="9.28125" style="20" hidden="1" customWidth="1"/>
    <col min="69" max="72" width="9.140625" style="20" hidden="1" customWidth="1"/>
    <col min="73" max="84" width="9.140625" style="20" customWidth="1"/>
    <col min="85" max="85" width="5.00390625" style="20" customWidth="1"/>
    <col min="86" max="16384" width="9.140625" style="20" customWidth="1"/>
  </cols>
  <sheetData>
    <row r="1" spans="1:10" ht="57.75" customHeight="1">
      <c r="A1" s="266" t="str">
        <f>IF($B$2="BG","Фиксирани цени за месец МАРТ 2019","Fixed prices MARCH 2019")</f>
        <v>Фиксирани цени за месец МАРТ 2019</v>
      </c>
      <c r="B1" s="266"/>
      <c r="C1" s="266"/>
      <c r="D1" s="266"/>
      <c r="E1" s="266"/>
      <c r="F1" s="266"/>
      <c r="G1" s="266"/>
      <c r="H1" s="266"/>
      <c r="I1" s="266"/>
      <c r="J1" s="226"/>
    </row>
    <row r="2" spans="1:61" ht="17.25" customHeight="1">
      <c r="A2" s="144" t="s">
        <v>70</v>
      </c>
      <c r="B2" s="144" t="s">
        <v>72</v>
      </c>
      <c r="C2" s="126"/>
      <c r="D2" s="109"/>
      <c r="E2" s="109"/>
      <c r="F2" s="109"/>
      <c r="G2" s="109"/>
      <c r="H2" s="109"/>
      <c r="I2" s="226"/>
      <c r="J2" s="226"/>
      <c r="BF2" s="24"/>
      <c r="BG2" s="24"/>
      <c r="BH2" s="24"/>
      <c r="BI2" s="24"/>
    </row>
    <row r="3" spans="1:36" ht="33" customHeight="1">
      <c r="A3" s="144"/>
      <c r="B3" s="144"/>
      <c r="C3" s="272" t="str">
        <f>IF($B$2="BG","Име на клип","Name ot spot")</f>
        <v>Име на клип</v>
      </c>
      <c r="D3" s="272"/>
      <c r="E3" s="231" t="str">
        <f>IF($B$2="BG","Код","Code")</f>
        <v>Код</v>
      </c>
      <c r="F3" s="231" t="str">
        <f>IF($B$2="BG","Секунди","Secоnds")</f>
        <v>Секунди</v>
      </c>
      <c r="G3" s="144" t="str">
        <f>IF($B$2="BG","Коефициент 30 сек.","Coefficient to 30 sec.")</f>
        <v>Коефициент 30 сек.</v>
      </c>
      <c r="H3" s="231" t="str">
        <f>IF($B$2="BG","Брой","Count")</f>
        <v>Брой</v>
      </c>
      <c r="I3" s="144" t="str">
        <f>IF($B$2="BG","Бонус/Комп","Bonus/Comp")</f>
        <v>Бонус/Комп</v>
      </c>
      <c r="J3" s="226"/>
      <c r="AE3" s="117" t="s">
        <v>72</v>
      </c>
      <c r="AJ3"/>
    </row>
    <row r="4" spans="1:31" ht="12" customHeight="1">
      <c r="A4" s="12" t="str">
        <f>IF($B$2="BG","Агенция","Agency")</f>
        <v>Агенция</v>
      </c>
      <c r="B4" s="22"/>
      <c r="C4" s="256"/>
      <c r="D4" s="256"/>
      <c r="E4" s="220" t="str">
        <f>IF(F4&lt;&gt;"","A","-")</f>
        <v>-</v>
      </c>
      <c r="F4" s="228"/>
      <c r="G4" s="229">
        <f>IF(F4="",0,VLOOKUP(F4,data!$B$17:$C$102,2,FALSE))</f>
        <v>0</v>
      </c>
      <c r="H4" s="223" t="b">
        <f aca="true" t="shared" si="0" ref="H4:H10">IF(F4&gt;0,(COUNTIF($Z$13:$BD$41,E4)))</f>
        <v>0</v>
      </c>
      <c r="I4" s="22"/>
      <c r="J4" s="226"/>
      <c r="AE4" s="117" t="s">
        <v>71</v>
      </c>
    </row>
    <row r="5" spans="1:31" ht="12" customHeight="1">
      <c r="A5" s="12" t="str">
        <f>IF($B$2="BG","Лице за контакт","Contact person")</f>
        <v>Лице за контакт</v>
      </c>
      <c r="B5" s="22"/>
      <c r="C5" s="256"/>
      <c r="D5" s="256"/>
      <c r="E5" s="220" t="str">
        <f>IF(F5&lt;&gt;"","B","-")</f>
        <v>-</v>
      </c>
      <c r="F5" s="228"/>
      <c r="G5" s="229">
        <f>IF(F5="",0,VLOOKUP(F5,data!$B$17:$C$102,2,FALSE))</f>
        <v>0</v>
      </c>
      <c r="H5" s="223" t="b">
        <f t="shared" si="0"/>
        <v>0</v>
      </c>
      <c r="I5" s="22"/>
      <c r="J5" s="226"/>
      <c r="AE5" s="117"/>
    </row>
    <row r="6" spans="1:10" ht="12" customHeight="1">
      <c r="A6" s="12" t="str">
        <f>IF($B$2="BG","Входящ №","Reference №")</f>
        <v>Входящ №</v>
      </c>
      <c r="B6" s="22"/>
      <c r="C6" s="256"/>
      <c r="D6" s="256"/>
      <c r="E6" s="220" t="str">
        <f>IF(F6&lt;&gt;"","C","-")</f>
        <v>-</v>
      </c>
      <c r="F6" s="228"/>
      <c r="G6" s="229">
        <f>IF(F6="",0,VLOOKUP(F6,data!$B$17:$C$102,2,FALSE))</f>
        <v>0</v>
      </c>
      <c r="H6" s="223" t="b">
        <f t="shared" si="0"/>
        <v>0</v>
      </c>
      <c r="I6" s="22"/>
      <c r="J6" s="226"/>
    </row>
    <row r="7" spans="1:10" ht="12" customHeight="1">
      <c r="A7" s="12" t="str">
        <f>IF($B$2="BG","Кампания","Campaign")</f>
        <v>Кампания</v>
      </c>
      <c r="B7" s="22"/>
      <c r="C7" s="256"/>
      <c r="D7" s="256"/>
      <c r="E7" s="230" t="str">
        <f>IF(F7&lt;&gt;"","D","-")</f>
        <v>-</v>
      </c>
      <c r="F7" s="228"/>
      <c r="G7" s="229">
        <f>IF(F7="",0,VLOOKUP(F7,data!$B$17:$C$102,2,FALSE))</f>
        <v>0</v>
      </c>
      <c r="H7" s="223" t="b">
        <f t="shared" si="0"/>
        <v>0</v>
      </c>
      <c r="I7" s="22"/>
      <c r="J7" s="226"/>
    </row>
    <row r="8" spans="1:10" ht="12" customHeight="1">
      <c r="A8" s="12" t="str">
        <f>IF($B$2="BG","Клиент","Client")</f>
        <v>Клиент</v>
      </c>
      <c r="B8" s="22"/>
      <c r="C8" s="256"/>
      <c r="D8" s="256"/>
      <c r="E8" s="230" t="str">
        <f>IF(F8&lt;&gt;"","E","-")</f>
        <v>-</v>
      </c>
      <c r="F8" s="228"/>
      <c r="G8" s="229">
        <f>IF(F8="",0,VLOOKUP(F8,data!$B$17:$C$102,2,FALSE))</f>
        <v>0</v>
      </c>
      <c r="H8" s="223" t="b">
        <f t="shared" si="0"/>
        <v>0</v>
      </c>
      <c r="I8" s="22"/>
      <c r="J8" s="226"/>
    </row>
    <row r="9" spans="1:10" ht="12" customHeight="1">
      <c r="A9" s="12" t="str">
        <f>IF($B$2="BG","Период","Period")</f>
        <v>Период</v>
      </c>
      <c r="B9" s="23"/>
      <c r="C9" s="256"/>
      <c r="D9" s="256"/>
      <c r="E9" s="230" t="str">
        <f>IF(F9&lt;&gt;"","F","-")</f>
        <v>-</v>
      </c>
      <c r="F9" s="228"/>
      <c r="G9" s="229">
        <f>IF(F9="",0,VLOOKUP(F9,data!$B$17:$C$102,2,FALSE))</f>
        <v>0</v>
      </c>
      <c r="H9" s="223" t="b">
        <f t="shared" si="0"/>
        <v>0</v>
      </c>
      <c r="I9" s="22"/>
      <c r="J9" s="226"/>
    </row>
    <row r="10" spans="1:61" ht="12" customHeight="1">
      <c r="A10" s="12" t="str">
        <f>IF($B$2="BG","По договор","Contract №")</f>
        <v>По договор</v>
      </c>
      <c r="B10" s="22"/>
      <c r="C10" s="256"/>
      <c r="D10" s="256"/>
      <c r="E10" s="230" t="str">
        <f>IF(F10&lt;&gt;"","G","-")</f>
        <v>-</v>
      </c>
      <c r="F10" s="228"/>
      <c r="G10" s="229">
        <f>IF(F10="",0,VLOOKUP(F10,data!$B$17:$C$102,2,FALSE))</f>
        <v>0</v>
      </c>
      <c r="H10" s="223" t="b">
        <f t="shared" si="0"/>
        <v>0</v>
      </c>
      <c r="I10" s="22"/>
      <c r="J10" s="226"/>
      <c r="BE10" s="25"/>
      <c r="BF10" s="25"/>
      <c r="BG10" s="25"/>
      <c r="BH10" s="25"/>
      <c r="BI10" s="25"/>
    </row>
    <row r="11" spans="1:61" ht="15" customHeight="1">
      <c r="A11" s="12" t="str">
        <f>IF($B$2="BG","Решение УС","Bord decision №")</f>
        <v>Решение УС</v>
      </c>
      <c r="B11" s="227"/>
      <c r="C11" s="267"/>
      <c r="D11" s="268"/>
      <c r="E11" s="228"/>
      <c r="F11" s="228"/>
      <c r="G11" s="228"/>
      <c r="H11" s="227"/>
      <c r="I11" s="227"/>
      <c r="J11" s="226"/>
      <c r="Z11" s="250" t="str">
        <f>IF($B$2="BG","Март 2019","March 2019")</f>
        <v>Март 2019</v>
      </c>
      <c r="AA11" s="251"/>
      <c r="AB11" s="251"/>
      <c r="AC11" s="251"/>
      <c r="AD11" s="251"/>
      <c r="AE11" s="251"/>
      <c r="AF11" s="251"/>
      <c r="AG11" s="251"/>
      <c r="AH11" s="251"/>
      <c r="AI11" s="251"/>
      <c r="AJ11" s="251"/>
      <c r="AK11" s="251"/>
      <c r="AL11" s="251"/>
      <c r="AM11" s="251"/>
      <c r="AN11" s="251"/>
      <c r="AO11" s="251"/>
      <c r="AP11" s="251"/>
      <c r="AQ11" s="251"/>
      <c r="AR11" s="251"/>
      <c r="AS11" s="251"/>
      <c r="AT11" s="251"/>
      <c r="AU11" s="251"/>
      <c r="AV11" s="251"/>
      <c r="AW11" s="251"/>
      <c r="AX11" s="251"/>
      <c r="AY11" s="251"/>
      <c r="AZ11" s="251"/>
      <c r="BA11" s="251"/>
      <c r="BB11" s="251"/>
      <c r="BC11" s="251"/>
      <c r="BD11" s="252"/>
      <c r="BE11" s="25"/>
      <c r="BF11" s="25"/>
      <c r="BG11" s="25"/>
      <c r="BH11" s="25"/>
      <c r="BI11" s="25"/>
    </row>
    <row r="12" spans="1:71" ht="51.75" customHeight="1">
      <c r="A12" s="144" t="str">
        <f>IF($B$2="BG","Бележки","Notice")</f>
        <v>Бележки</v>
      </c>
      <c r="B12" s="144" t="str">
        <f>IF($B$2="BG","Програма","Program")</f>
        <v>Програма</v>
      </c>
      <c r="C12" s="144" t="str">
        <f>IF($B$2="BG","Ден","Day")</f>
        <v>Ден</v>
      </c>
      <c r="D12" s="144" t="str">
        <f>IF($B$2="BG","Час","Time")</f>
        <v>Час</v>
      </c>
      <c r="E12" s="144" t="str">
        <f>IF($B$2="BG","Ключ","Key")</f>
        <v>Ключ</v>
      </c>
      <c r="F12" s="144" t="str">
        <f>IF($B$2="BG","Часова зона","Day part")</f>
        <v>Часова зона</v>
      </c>
      <c r="G12" s="144" t="str">
        <f>IF($B$2="BG","Рекламна форма","TVC Type")</f>
        <v>Рекламна форма</v>
      </c>
      <c r="H12" s="144" t="str">
        <f>IF($B$2="BG","Цена за клип 30 сек.","30 sec Price")</f>
        <v>Цена за клип 30 сек.</v>
      </c>
      <c r="I12" s="144" t="str">
        <f>IF($B$2="BG","Брой","Count")</f>
        <v>Брой</v>
      </c>
      <c r="J12" s="144" t="str">
        <f>IF($B$2="BG","Общо цена","Total")</f>
        <v>Общо цена</v>
      </c>
      <c r="K12" s="144" t="s">
        <v>18</v>
      </c>
      <c r="L12" s="144" t="s">
        <v>19</v>
      </c>
      <c r="M12" s="144" t="s">
        <v>20</v>
      </c>
      <c r="N12" s="144" t="s">
        <v>25</v>
      </c>
      <c r="O12" s="144" t="s">
        <v>21</v>
      </c>
      <c r="P12" s="144" t="s">
        <v>26</v>
      </c>
      <c r="Q12" s="144" t="s">
        <v>22</v>
      </c>
      <c r="R12" s="144" t="s">
        <v>27</v>
      </c>
      <c r="S12" s="144" t="s">
        <v>23</v>
      </c>
      <c r="T12" s="144" t="s">
        <v>28</v>
      </c>
      <c r="U12" s="144" t="s">
        <v>24</v>
      </c>
      <c r="V12" s="144" t="s">
        <v>29</v>
      </c>
      <c r="W12" s="144" t="s">
        <v>64</v>
      </c>
      <c r="X12" s="144" t="s">
        <v>65</v>
      </c>
      <c r="Y12" s="144" t="s">
        <v>30</v>
      </c>
      <c r="Z12" s="166">
        <v>1</v>
      </c>
      <c r="AA12" s="141">
        <v>2</v>
      </c>
      <c r="AB12" s="141">
        <v>3</v>
      </c>
      <c r="AC12" s="166">
        <v>4</v>
      </c>
      <c r="AD12" s="166">
        <v>5</v>
      </c>
      <c r="AE12" s="166">
        <v>6</v>
      </c>
      <c r="AF12" s="166">
        <v>7</v>
      </c>
      <c r="AG12" s="166">
        <v>8</v>
      </c>
      <c r="AH12" s="141">
        <v>9</v>
      </c>
      <c r="AI12" s="141">
        <v>10</v>
      </c>
      <c r="AJ12" s="166">
        <v>11</v>
      </c>
      <c r="AK12" s="166">
        <v>12</v>
      </c>
      <c r="AL12" s="166">
        <v>13</v>
      </c>
      <c r="AM12" s="166">
        <v>14</v>
      </c>
      <c r="AN12" s="166">
        <v>15</v>
      </c>
      <c r="AO12" s="141">
        <v>16</v>
      </c>
      <c r="AP12" s="141">
        <v>17</v>
      </c>
      <c r="AQ12" s="166">
        <v>18</v>
      </c>
      <c r="AR12" s="166">
        <v>19</v>
      </c>
      <c r="AS12" s="166">
        <v>20</v>
      </c>
      <c r="AT12" s="166">
        <v>21</v>
      </c>
      <c r="AU12" s="166">
        <v>22</v>
      </c>
      <c r="AV12" s="141">
        <v>23</v>
      </c>
      <c r="AW12" s="141">
        <v>24</v>
      </c>
      <c r="AX12" s="166">
        <v>25</v>
      </c>
      <c r="AY12" s="166">
        <v>26</v>
      </c>
      <c r="AZ12" s="166">
        <v>27</v>
      </c>
      <c r="BA12" s="166">
        <v>28</v>
      </c>
      <c r="BB12" s="166">
        <v>29</v>
      </c>
      <c r="BC12" s="141">
        <v>30</v>
      </c>
      <c r="BD12" s="141">
        <v>31</v>
      </c>
      <c r="BE12" s="145" t="str">
        <f>IF($B$2="BG","Утежнение за позиция в блок/две реклами в блок","Surcharge in the block/two ad unit")</f>
        <v>Утежнение за позиция в блок/две реклами в блок</v>
      </c>
      <c r="BF12" s="145" t="str">
        <f>IF($B$2="BG","Утежнение за съвместна реклама","Co-Ad surcharge")</f>
        <v>Утежнение за съвместна реклама</v>
      </c>
      <c r="BG12" s="145" t="s">
        <v>45</v>
      </c>
      <c r="BH12" s="145" t="str">
        <f>IF($B$2="BG","Цена за клип/СЗ/ПР без утежнения","Price for spot/ST/PR without surcharge")</f>
        <v>Цена за клип/СЗ/ПР без утежнения</v>
      </c>
      <c r="BI12" s="145" t="str">
        <f>IF($B$2="BG","Цена с утежнения за позиция и марка","Price with surcharge for Position and Brand")</f>
        <v>Цена с утежнения за позиция и марка</v>
      </c>
      <c r="BJ12" s="145" t="str">
        <f>IF($B$2="BG","Утежнения за позиция и марка","Price surcharge for Position and Brand")</f>
        <v>Утежнения за позиция и марка</v>
      </c>
      <c r="BK12" s="145" t="str">
        <f>IF($B$2="BG","Утежнения закъснение","Surcharge for Delay")</f>
        <v>Утежнения закъснение</v>
      </c>
      <c r="BL12" s="145" t="str">
        <f>IF($B$2="BG","Общо утежнение","Total Surcharge")</f>
        <v>Общо утежнение</v>
      </c>
      <c r="BN12" s="20" t="s">
        <v>0</v>
      </c>
      <c r="BO12" s="20" t="s">
        <v>1</v>
      </c>
      <c r="BP12" s="20" t="s">
        <v>2</v>
      </c>
      <c r="BQ12" s="20" t="s">
        <v>3</v>
      </c>
      <c r="BR12" s="20" t="s">
        <v>4</v>
      </c>
      <c r="BS12" s="20" t="s">
        <v>5</v>
      </c>
    </row>
    <row r="13" spans="1:71" ht="12.75" customHeight="1">
      <c r="A13" s="1"/>
      <c r="B13" s="2"/>
      <c r="C13" s="3"/>
      <c r="D13" s="4"/>
      <c r="E13" s="5">
        <f>IF(D13="","",ABS(LEFT(D13,2)))</f>
      </c>
      <c r="F13" s="5">
        <f aca="true" t="shared" si="1" ref="F13:F41">IF(D13="","",IF((E13&gt;=19)*(E13&lt;22),"PT","OPT"))</f>
      </c>
      <c r="G13" s="131"/>
      <c r="H13" s="6">
        <f>IF(OR(C13=0,D13=0),"",VLOOKUP(C13,data!$J$54:$S$54,VLOOKUP(D13,data!$R$4:$S$12,2,FALSE)))</f>
      </c>
      <c r="I13" s="88">
        <f>COUNTA(Z13:BD13)</f>
        <v>0</v>
      </c>
      <c r="J13" s="6">
        <f>IF(D13="",0,(K13*L13+M13*N13+O13*P13+Q13*R13+S13*T13+U13*V13+W13*X13)*Y13)</f>
        <v>0</v>
      </c>
      <c r="K13" s="14" t="b">
        <f>IF($I$4="Да/Yes",0,IF(AND(G13="Spons tag",$F$4&lt;=10),H13/2,IF(G13="Spot",$G$4*H13,IF(G13="Paid report",H13*$F$4*1*2/60,IF(AND(G13="Cut-in",$F$4&lt;=10),H13*0.7,IF(G13="Break ID with VO 7+7",H13*1.2,IF(AND(G13="Spons promo",$F$4&lt;=10),H13/2,IF(G13="Break ID 7+7",H13))))))))</f>
        <v>0</v>
      </c>
      <c r="L13" s="130">
        <f>COUNTIF(Z13:BD13,$E$4)</f>
        <v>0</v>
      </c>
      <c r="M13" s="14" t="b">
        <f>IF($I$5="Да/Yes",0,IF(AND(G13="Spons tag",$G$5&lt;=10),H13/2,IF(G13="Spot",$G$5*H13,IF(G13="Paid report",H13*$G$5*1*2/60,IF(AND(G13="Cut-in",$G$5&lt;=10),H13*0.7,IF(G13="Break ID with VO 7+7",H13*1.2,IF(AND(G13="Spons promo",$G$5&lt;=10),H13/2,IF(G13="Break ID 7+7",H13))))))))</f>
        <v>0</v>
      </c>
      <c r="N13" s="130">
        <f>COUNTIF(Z13:BD13,$E$5)</f>
        <v>0</v>
      </c>
      <c r="O13" s="14" t="b">
        <f>IF($I$6="Да/Yes",0,IF(AND(G13="Spons tag",$G$6&lt;=10),H13/2,IF(G13="Spot",$G$6*H13,IF(G13="Paid report",H13*$G$6*1*2/60,IF(AND(G13="Cut-in",$G$6&lt;=10),H13*0.7,IF(G13="Break ID with VO 7+7",H13*1.2,IF(AND(G13="Spons promo",$G$6&lt;=10),H13/2,IF(G13="Break ID 7+7",H13))))))))</f>
        <v>0</v>
      </c>
      <c r="P13" s="130">
        <f>COUNTIF(Z13:BD13,$E$6)</f>
        <v>0</v>
      </c>
      <c r="Q13" s="14" t="b">
        <f>IF($I$7="Да/Yes",0,IF(AND(G13="Spons tag",$G$7&lt;=10),H13/2,IF(G13="Spot",$G$7*H13,IF(G13="Paid report",H13*$G$7*1*2/60,IF(AND(G13="Cut-in",$G$7&lt;=10),H13*0.7,IF(G13="Break ID with VO 7+7",H13*1.2,IF(AND(G13="Spons promo",$G$7&lt;=10),H13/2,IF(G13="Break ID 7+7",H13))))))))</f>
        <v>0</v>
      </c>
      <c r="R13" s="130">
        <f>COUNTIF(Z13:BD13,$E$7)</f>
        <v>0</v>
      </c>
      <c r="S13" s="14" t="b">
        <f>IF($I$8="Да/Yes",0,IF(AND(G13="Spons tag",$G$8&lt;=10),H13/2,IF(G13="Spot",$G$8*H13,IF(G13="Paid report",H13*$G$8*1*2/60,IF(AND(G13="Cut-in",$G$8&lt;=10),H13*0.7,IF(G13="Break ID with VO 7+7",H13*1.2,IF(AND(G13="Spons promo",$G$8&lt;=10),H13/2,IF(G13="Break ID 7+7",H13))))))))</f>
        <v>0</v>
      </c>
      <c r="T13" s="130">
        <f>COUNTIF(Z13:BD13,$E$8)</f>
        <v>0</v>
      </c>
      <c r="U13" s="14" t="b">
        <f>IF($I$9="Да/Yes",0,IF(AND(G13="Spons tag",$G$9&lt;=10),H13/2,IF(G13="Spot",$G$9*H13,IF(G13="Paid report",H13*$G$9*1*2/60,IF(AND(G13="Cut-in",$G$9&lt;=10),H13*0.7,IF(G13="Break ID with VO 7+7",H13*1.2,IF(AND(G13="Spons promo",$G$9&lt;=10),H13/2,IF(G13="Break ID 7+7",H13))))))))</f>
        <v>0</v>
      </c>
      <c r="V13" s="130">
        <f>COUNTIF(Z13:BD13,$E$9)</f>
        <v>0</v>
      </c>
      <c r="W13" s="14" t="b">
        <f>IF($I$10="Да/Yes",0,IF(AND(G13="Spons tag",$G$10&lt;=10),H13/2,IF(G13="Spot",$G$10*H13,IF(G13="Paid report",H13*$G$10*1*2/60,IF(AND(G13="Cut-in",$G$10&lt;=10),H13*0.7,IF(G13="Break ID with VO 7+7",H13*1.2,IF(AND(G13="Spons promo",$G$10&lt;=10),H13/2,IF(G13="Break ID 7+7",H13))))))))</f>
        <v>0</v>
      </c>
      <c r="X13" s="130">
        <f>COUNTIF(Z13:BD13,$E$10)</f>
        <v>0</v>
      </c>
      <c r="Y13" s="15">
        <f>IF(BE13="",1,VLOOKUP(BE13,data!$C$3:$D$12,2,FALSE))*(1+BF13)</f>
        <v>1</v>
      </c>
      <c r="Z13" s="84"/>
      <c r="AA13" s="144"/>
      <c r="AB13" s="144"/>
      <c r="AC13" s="84"/>
      <c r="AD13" s="84"/>
      <c r="AE13" s="84"/>
      <c r="AF13" s="84"/>
      <c r="AG13" s="84"/>
      <c r="AH13" s="144"/>
      <c r="AI13" s="144"/>
      <c r="AJ13" s="84"/>
      <c r="AK13" s="84"/>
      <c r="AL13" s="84"/>
      <c r="AM13" s="84"/>
      <c r="AN13" s="84"/>
      <c r="AO13" s="144"/>
      <c r="AP13" s="144"/>
      <c r="AQ13" s="84"/>
      <c r="AR13" s="84"/>
      <c r="AS13" s="84"/>
      <c r="AT13" s="84"/>
      <c r="AU13" s="84"/>
      <c r="AV13" s="144"/>
      <c r="AW13" s="144"/>
      <c r="AX13" s="84"/>
      <c r="AY13" s="84"/>
      <c r="AZ13" s="84"/>
      <c r="BA13" s="84"/>
      <c r="BB13" s="84"/>
      <c r="BC13" s="144"/>
      <c r="BD13" s="144"/>
      <c r="BE13" s="7"/>
      <c r="BF13" s="8"/>
      <c r="BG13" s="8"/>
      <c r="BH13" s="6">
        <f>IF(I13=0,0,(K13*L13+M13*N13+O13*P13+Q13*R13+S13*T13+U13*V13+W13*X13)/I13)</f>
        <v>0</v>
      </c>
      <c r="BI13" s="6">
        <f>IF(I13=0,0,J13/I13)</f>
        <v>0</v>
      </c>
      <c r="BJ13" s="6">
        <f>IF((BI13-BH13)&gt;0,(BI13-BH13)*I13,0)</f>
        <v>0</v>
      </c>
      <c r="BK13" s="6">
        <f aca="true" t="shared" si="2" ref="BK13:BK41">BG13*BI13</f>
        <v>0</v>
      </c>
      <c r="BL13" s="6">
        <f aca="true" t="shared" si="3" ref="BL13:BL41">BJ13+BK13</f>
        <v>0</v>
      </c>
      <c r="BN13" s="26">
        <f>((COUNTIF(Z13:AB13,"A")*K13)+(COUNTIF(Z13:AB13,"B")*M13)+(COUNTIF(Z13:AB13,"C")*O13)+(COUNTIF(Z13:AB13,"D")*Q13)+(COUNTIF(Z13:AB13,"E")*S13)+(COUNTIF(Z13:AB13,"F")*U13)+(COUNTIF(Z13:AB13,"G")*W13))*Y13</f>
        <v>0</v>
      </c>
      <c r="BO13" s="26">
        <f>((COUNTIF(AC13:AI13,"A")*K13)+(COUNTIF(AC13:AI13,"B")*M13)+(COUNTIF(AC13:AI13,"C")*O13)+(COUNTIF(AC13:AI13,"D")*Q13)+(COUNTIF(AC13:AI13,"E")*S13)+(COUNTIF(AC13:AI13,"F")*U13)+(COUNTIF(AC13:AI13,"G")*W13))*Y13</f>
        <v>0</v>
      </c>
      <c r="BP13" s="26">
        <f>((COUNTIF(AJ13:AP13,"A")*K13)+(COUNTIF(AJ13:AP13,"B")*M13)+(COUNTIF(AJ13:AP13,"C")*O13)+(COUNTIF(AJ13:AP13,"D")*Q13)+(COUNTIF(AJ13:AP13,"E")*S13)+(COUNTIF(AJ13:AP13,"F")*U13)+(COUNTIF(AJ13:AP13,"G")*W13))*Y13</f>
        <v>0</v>
      </c>
      <c r="BQ13" s="26">
        <f>((COUNTIF(AQ13:AW13,"A")*K13)+(COUNTIF(AQ13:AW13,"B")*M13)+(COUNTIF(AQ13:AW13,"C")*O13)+(COUNTIF(AQ13:AW13,"D")*Q13)+(COUNTIF(AQ13:AW13,"E")*S13)+(COUNTIF(AQ13:AW13,"F")*U13)+(COUNTIF(AQ13:AW13,"G")*W13))*Y13</f>
        <v>0</v>
      </c>
      <c r="BR13" s="26">
        <f>((COUNTIF(AX13:BD13,"A")*K13)+(COUNTIF(AX13:BD13,"B")*M13)+(COUNTIF(AX13:BD13,"C")*O13)+(COUNTIF(AX13:BD13,"D")*Q13)+(COUNTIF(AX13:BD13,"E")*S13)+(COUNTIF(AX13:BD13,"F")*U13)+(COUNTIF(AX13:BD13,"G")*W13))*Y13</f>
        <v>0</v>
      </c>
      <c r="BS13" s="26">
        <f>((COUNTIF(BD13,"A")*K13)+(COUNTIF(BD13,"B")*M13)+(COUNTIF(BD13,"C")*O13)+(COUNTIF(BD13,"D")*Q13)+(COUNTIF(BD13,"E")*S13)+(COUNTIF(BD13,"F")*U13)+(COUNTIF(BD13,"G")*W13))*Y13</f>
        <v>0</v>
      </c>
    </row>
    <row r="14" spans="1:71" ht="12.75" customHeight="1">
      <c r="A14" s="1"/>
      <c r="B14" s="2"/>
      <c r="C14" s="3"/>
      <c r="D14" s="4"/>
      <c r="E14" s="5">
        <f aca="true" t="shared" si="4" ref="E14:E41">IF(D14="","",ABS(LEFT(D14,2)))</f>
      </c>
      <c r="F14" s="5">
        <f t="shared" si="1"/>
      </c>
      <c r="G14" s="131"/>
      <c r="H14" s="6">
        <f>IF(OR(C14=0,D14=0),"",VLOOKUP(C14,data!$J$54:$S$54,VLOOKUP(D14,data!$R$4:$S$12,2,FALSE)))</f>
      </c>
      <c r="I14" s="88">
        <f aca="true" t="shared" si="5" ref="I14:I41">COUNTA(Z14:BD14)</f>
        <v>0</v>
      </c>
      <c r="J14" s="6">
        <f aca="true" t="shared" si="6" ref="J14:J41">IF(D14="",0,(K14*L14+M14*N14+O14*P14+Q14*R14+S14*T14+U14*V14+W14*X14)*Y14)</f>
        <v>0</v>
      </c>
      <c r="K14" s="14" t="b">
        <f aca="true" t="shared" si="7" ref="K14:K41">IF($I$4="Да/Yes",0,IF(AND(G14="Spons tag",$F$4&lt;=10),H14/2,IF(G14="Spot",$G$4*H14,IF(G14="Paid report",H14*$F$4*1*2/60,IF(AND(G14="Cut-in",$F$4&lt;=10),H14*0.7,IF(G14="Break ID with VO 7+7",H14*1.2,IF(AND(G14="Spons promo",$F$4&lt;=10),H14/2,IF(G14="Break ID 7+7",H14))))))))</f>
        <v>0</v>
      </c>
      <c r="L14" s="130">
        <f aca="true" t="shared" si="8" ref="L14:L41">COUNTIF(Z14:BD14,$E$4)</f>
        <v>0</v>
      </c>
      <c r="M14" s="14" t="b">
        <f aca="true" t="shared" si="9" ref="M14:M41">IF($I$5="Да/Yes",0,IF(AND(G14="Spons tag",$G$5&lt;=10),H14/2,IF(G14="Spot",$G$5*H14,IF(G14="Paid report",H14*$G$5*1*2/60,IF(AND(G14="Cut-in",$G$5&lt;=10),H14*0.7,IF(G14="Break ID with VO 7+7",H14*1.2,IF(AND(G14="Spons promo",$G$5&lt;=10),H14/2,IF(G14="Break ID 7+7",H14))))))))</f>
        <v>0</v>
      </c>
      <c r="N14" s="130">
        <f aca="true" t="shared" si="10" ref="N14:N41">COUNTIF(Z14:BD14,$E$5)</f>
        <v>0</v>
      </c>
      <c r="O14" s="14" t="b">
        <f aca="true" t="shared" si="11" ref="O14:O41">IF($I$6="Да/Yes",0,IF(AND(G14="Spons tag",$G$6&lt;=10),H14/2,IF(G14="Spot",$G$6*H14,IF(G14="Paid report",H14*$G$6*1*2/60,IF(AND(G14="Cut-in",$G$6&lt;=10),H14*0.7,IF(G14="Break ID with VO 7+7",H14*1.2,IF(AND(G14="Spons promo",$G$6&lt;=10),H14/2,IF(G14="Break ID 7+7",H14))))))))</f>
        <v>0</v>
      </c>
      <c r="P14" s="130">
        <f aca="true" t="shared" si="12" ref="P14:P41">COUNTIF(Z14:BD14,$E$6)</f>
        <v>0</v>
      </c>
      <c r="Q14" s="14" t="b">
        <f aca="true" t="shared" si="13" ref="Q14:Q41">IF($I$7="Да/Yes",0,IF(AND(G14="Spons tag",$G$7&lt;=10),H14/2,IF(G14="Spot",$G$7*H14,IF(G14="Paid report",H14*$G$7*1*2/60,IF(AND(G14="Cut-in",$G$7&lt;=10),H14*0.7,IF(G14="Break ID with VO 7+7",H14*1.2,IF(AND(G14="Spons promo",$G$7&lt;=10),H14/2,IF(G14="Break ID 7+7",H14))))))))</f>
        <v>0</v>
      </c>
      <c r="R14" s="130">
        <f aca="true" t="shared" si="14" ref="R14:R41">COUNTIF(Z14:BD14,$E$7)</f>
        <v>0</v>
      </c>
      <c r="S14" s="14" t="b">
        <f aca="true" t="shared" si="15" ref="S14:S41">IF($I$8="Да/Yes",0,IF(AND(G14="Spons tag",$G$8&lt;=10),H14/2,IF(G14="Spot",$G$8*H14,IF(G14="Paid report",H14*$G$8*1*2/60,IF(AND(G14="Cut-in",$G$8&lt;=10),H14*0.7,IF(G14="Break ID with VO 7+7",H14*1.2,IF(AND(G14="Spons promo",$G$8&lt;=10),H14/2,IF(G14="Break ID 7+7",H14))))))))</f>
        <v>0</v>
      </c>
      <c r="T14" s="130">
        <f aca="true" t="shared" si="16" ref="T14:T41">COUNTIF(Z14:BD14,$E$8)</f>
        <v>0</v>
      </c>
      <c r="U14" s="14" t="b">
        <f aca="true" t="shared" si="17" ref="U14:U41">IF($I$9="Да/Yes",0,IF(AND(G14="Spons tag",$G$9&lt;=10),H14/2,IF(G14="Spot",$G$9*H14,IF(G14="Paid report",H14*$G$9*1*2/60,IF(AND(G14="Cut-in",$G$9&lt;=10),H14*0.7,IF(G14="Break ID with VO 7+7",H14*1.2,IF(AND(G14="Spons promo",$G$9&lt;=10),H14/2,IF(G14="Break ID 7+7",H14))))))))</f>
        <v>0</v>
      </c>
      <c r="V14" s="130">
        <f aca="true" t="shared" si="18" ref="V14:V41">COUNTIF(Z14:BD14,$E$9)</f>
        <v>0</v>
      </c>
      <c r="W14" s="14" t="b">
        <f aca="true" t="shared" si="19" ref="W14:W41">IF($I$10="Да/Yes",0,IF(AND(G14="Spons tag",$G$10&lt;=10),H14/2,IF(G14="Spot",$G$10*H14,IF(G14="Paid report",H14*$G$10*1*2/60,IF(AND(G14="Cut-in",$G$10&lt;=10),H14*0.7,IF(G14="Break ID with VO 7+7",H14*1.2,IF(AND(G14="Spons promo",$G$10&lt;=10),H14/2,IF(G14="Break ID 7+7",H14))))))))</f>
        <v>0</v>
      </c>
      <c r="X14" s="130">
        <f aca="true" t="shared" si="20" ref="X14:X41">COUNTIF(Z14:BD14,$E$10)</f>
        <v>0</v>
      </c>
      <c r="Y14" s="178">
        <f>IF(BE14="",1,VLOOKUP(BE14,data!$C$3:$D$10,2,FALSE))*(1+BF14)</f>
        <v>1</v>
      </c>
      <c r="Z14" s="84"/>
      <c r="AA14" s="144"/>
      <c r="AB14" s="144"/>
      <c r="AC14" s="84"/>
      <c r="AD14" s="84"/>
      <c r="AE14" s="84"/>
      <c r="AF14" s="84"/>
      <c r="AG14" s="84"/>
      <c r="AH14" s="144"/>
      <c r="AI14" s="144"/>
      <c r="AJ14" s="84"/>
      <c r="AK14" s="84"/>
      <c r="AL14" s="84"/>
      <c r="AM14" s="84"/>
      <c r="AN14" s="84"/>
      <c r="AO14" s="144"/>
      <c r="AP14" s="144"/>
      <c r="AQ14" s="84"/>
      <c r="AR14" s="84"/>
      <c r="AS14" s="84"/>
      <c r="AT14" s="84"/>
      <c r="AU14" s="84"/>
      <c r="AV14" s="144"/>
      <c r="AW14" s="144"/>
      <c r="AX14" s="84"/>
      <c r="AY14" s="84"/>
      <c r="AZ14" s="84"/>
      <c r="BA14" s="84"/>
      <c r="BB14" s="84"/>
      <c r="BC14" s="144"/>
      <c r="BD14" s="144"/>
      <c r="BE14" s="7"/>
      <c r="BF14" s="8"/>
      <c r="BG14" s="8"/>
      <c r="BH14" s="6">
        <f aca="true" t="shared" si="21" ref="BH14:BH41">IF(I14=0,0,(K14*L14+M14*N14+O14*P14+Q14*R14+S14*T14+U14*V14+W14*X14)/I14)</f>
        <v>0</v>
      </c>
      <c r="BI14" s="6">
        <f aca="true" t="shared" si="22" ref="BI14:BI41">IF(I14=0,0,J14/I14)</f>
        <v>0</v>
      </c>
      <c r="BJ14" s="6">
        <f aca="true" t="shared" si="23" ref="BJ14:BJ41">IF((BI14-BH14)&gt;0,(BI14-BH14)*I14,0)</f>
        <v>0</v>
      </c>
      <c r="BK14" s="6">
        <f t="shared" si="2"/>
        <v>0</v>
      </c>
      <c r="BL14" s="6">
        <f t="shared" si="3"/>
        <v>0</v>
      </c>
      <c r="BN14" s="26">
        <f aca="true" t="shared" si="24" ref="BN14:BN41">((COUNTIF(Z14:AB14,"A")*K14)+(COUNTIF(Z14:AB14,"B")*M14)+(COUNTIF(Z14:AB14,"C")*O14)+(COUNTIF(Z14:AB14,"D")*Q14)+(COUNTIF(Z14:AB14,"E")*S14)+(COUNTIF(Z14:AB14,"F")*U14)+(COUNTIF(Z14:AB14,"G")*W14))*Y14</f>
        <v>0</v>
      </c>
      <c r="BO14" s="26">
        <f aca="true" t="shared" si="25" ref="BO14:BO41">((COUNTIF(AC14:AI14,"A")*K14)+(COUNTIF(AC14:AI14,"B")*M14)+(COUNTIF(AC14:AI14,"C")*O14)+(COUNTIF(AC14:AI14,"D")*Q14)+(COUNTIF(AC14:AI14,"E")*S14)+(COUNTIF(AC14:AI14,"F")*U14)+(COUNTIF(AC14:AI14,"G")*W14))*Y14</f>
        <v>0</v>
      </c>
      <c r="BP14" s="26">
        <f aca="true" t="shared" si="26" ref="BP14:BP41">((COUNTIF(AJ14:AP14,"A")*K14)+(COUNTIF(AJ14:AP14,"B")*M14)+(COUNTIF(AJ14:AP14,"C")*O14)+(COUNTIF(AJ14:AP14,"D")*Q14)+(COUNTIF(AJ14:AP14,"E")*S14)+(COUNTIF(AJ14:AP14,"F")*U14)+(COUNTIF(AJ14:AP14,"G")*W14))*Y14</f>
        <v>0</v>
      </c>
      <c r="BQ14" s="26">
        <f aca="true" t="shared" si="27" ref="BQ14:BQ41">((COUNTIF(AQ14:AW14,"A")*K14)+(COUNTIF(AQ14:AW14,"B")*M14)+(COUNTIF(AQ14:AW14,"C")*O14)+(COUNTIF(AQ14:AW14,"D")*Q14)+(COUNTIF(AQ14:AW14,"E")*S14)+(COUNTIF(AQ14:AW14,"F")*U14)+(COUNTIF(AQ14:AW14,"G")*W14))*Y14</f>
        <v>0</v>
      </c>
      <c r="BR14" s="26">
        <f aca="true" t="shared" si="28" ref="BR14:BR41">((COUNTIF(AX14:BD14,"A")*K14)+(COUNTIF(AX14:BD14,"B")*M14)+(COUNTIF(AX14:BD14,"C")*O14)+(COUNTIF(AX14:BD14,"D")*Q14)+(COUNTIF(AX14:BD14,"E")*S14)+(COUNTIF(AX14:BD14,"F")*U14)+(COUNTIF(AX14:BD14,"G")*W14))*Y14</f>
        <v>0</v>
      </c>
      <c r="BS14" s="26">
        <f aca="true" t="shared" si="29" ref="BS14:BS41">((COUNTIF(BD14,"A")*K14)+(COUNTIF(BD14,"B")*M14)+(COUNTIF(BD14,"C")*O14)+(COUNTIF(BD14,"D")*Q14)+(COUNTIF(BD14,"E")*S14)+(COUNTIF(BD14,"F")*U14)+(COUNTIF(BD14,"G")*W14))*Y14</f>
        <v>0</v>
      </c>
    </row>
    <row r="15" spans="1:71" ht="12.75" customHeight="1">
      <c r="A15" s="1"/>
      <c r="B15" s="2"/>
      <c r="C15" s="3"/>
      <c r="D15" s="4"/>
      <c r="E15" s="5">
        <f t="shared" si="4"/>
      </c>
      <c r="F15" s="5">
        <f t="shared" si="1"/>
      </c>
      <c r="G15" s="131"/>
      <c r="H15" s="6">
        <f>IF(OR(C15=0,D15=0),"",VLOOKUP(C15,data!$J$54:$S$54,VLOOKUP(D15,data!$R$4:$S$12,2,FALSE)))</f>
      </c>
      <c r="I15" s="88">
        <f t="shared" si="5"/>
        <v>0</v>
      </c>
      <c r="J15" s="6">
        <f t="shared" si="6"/>
        <v>0</v>
      </c>
      <c r="K15" s="14" t="b">
        <f t="shared" si="7"/>
        <v>0</v>
      </c>
      <c r="L15" s="130">
        <f t="shared" si="8"/>
        <v>0</v>
      </c>
      <c r="M15" s="14" t="b">
        <f t="shared" si="9"/>
        <v>0</v>
      </c>
      <c r="N15" s="130">
        <f t="shared" si="10"/>
        <v>0</v>
      </c>
      <c r="O15" s="14" t="b">
        <f t="shared" si="11"/>
        <v>0</v>
      </c>
      <c r="P15" s="130">
        <f t="shared" si="12"/>
        <v>0</v>
      </c>
      <c r="Q15" s="14" t="b">
        <f t="shared" si="13"/>
        <v>0</v>
      </c>
      <c r="R15" s="130">
        <f t="shared" si="14"/>
        <v>0</v>
      </c>
      <c r="S15" s="14" t="b">
        <f t="shared" si="15"/>
        <v>0</v>
      </c>
      <c r="T15" s="130">
        <f t="shared" si="16"/>
        <v>0</v>
      </c>
      <c r="U15" s="14" t="b">
        <f t="shared" si="17"/>
        <v>0</v>
      </c>
      <c r="V15" s="130">
        <f t="shared" si="18"/>
        <v>0</v>
      </c>
      <c r="W15" s="14" t="b">
        <f t="shared" si="19"/>
        <v>0</v>
      </c>
      <c r="X15" s="130">
        <f t="shared" si="20"/>
        <v>0</v>
      </c>
      <c r="Y15" s="178">
        <f>IF(BE15="",1,VLOOKUP(BE15,data!$C$3:$D$10,2,FALSE))*(1+BF15)</f>
        <v>1</v>
      </c>
      <c r="Z15" s="84"/>
      <c r="AA15" s="144"/>
      <c r="AB15" s="144"/>
      <c r="AC15" s="84"/>
      <c r="AD15" s="84"/>
      <c r="AE15" s="84"/>
      <c r="AF15" s="84"/>
      <c r="AG15" s="84"/>
      <c r="AH15" s="144"/>
      <c r="AI15" s="144"/>
      <c r="AJ15" s="84"/>
      <c r="AK15" s="84"/>
      <c r="AL15" s="84"/>
      <c r="AM15" s="84"/>
      <c r="AN15" s="84"/>
      <c r="AO15" s="144"/>
      <c r="AP15" s="144"/>
      <c r="AQ15" s="84"/>
      <c r="AR15" s="84"/>
      <c r="AS15" s="84"/>
      <c r="AT15" s="84"/>
      <c r="AU15" s="84"/>
      <c r="AV15" s="144"/>
      <c r="AW15" s="144"/>
      <c r="AX15" s="84"/>
      <c r="AY15" s="84"/>
      <c r="AZ15" s="84"/>
      <c r="BA15" s="84"/>
      <c r="BB15" s="84"/>
      <c r="BC15" s="144"/>
      <c r="BD15" s="144"/>
      <c r="BE15" s="7"/>
      <c r="BF15" s="8"/>
      <c r="BG15" s="8"/>
      <c r="BH15" s="6">
        <f t="shared" si="21"/>
        <v>0</v>
      </c>
      <c r="BI15" s="6">
        <f t="shared" si="22"/>
        <v>0</v>
      </c>
      <c r="BJ15" s="6">
        <f t="shared" si="23"/>
        <v>0</v>
      </c>
      <c r="BK15" s="6">
        <f t="shared" si="2"/>
        <v>0</v>
      </c>
      <c r="BL15" s="6">
        <f t="shared" si="3"/>
        <v>0</v>
      </c>
      <c r="BN15" s="26">
        <f t="shared" si="24"/>
        <v>0</v>
      </c>
      <c r="BO15" s="26">
        <f t="shared" si="25"/>
        <v>0</v>
      </c>
      <c r="BP15" s="26">
        <f t="shared" si="26"/>
        <v>0</v>
      </c>
      <c r="BQ15" s="26">
        <f t="shared" si="27"/>
        <v>0</v>
      </c>
      <c r="BR15" s="26">
        <f t="shared" si="28"/>
        <v>0</v>
      </c>
      <c r="BS15" s="26">
        <f t="shared" si="29"/>
        <v>0</v>
      </c>
    </row>
    <row r="16" spans="1:71" ht="12.75" customHeight="1">
      <c r="A16" s="1"/>
      <c r="B16" s="2"/>
      <c r="C16" s="3"/>
      <c r="D16" s="4"/>
      <c r="E16" s="5">
        <f t="shared" si="4"/>
      </c>
      <c r="F16" s="5">
        <f t="shared" si="1"/>
      </c>
      <c r="G16" s="131"/>
      <c r="H16" s="6">
        <f>IF(OR(C16=0,D16=0),"",VLOOKUP(C16,data!$J$54:$S$54,VLOOKUP(D16,data!$R$4:$S$12,2,FALSE)))</f>
      </c>
      <c r="I16" s="88">
        <f t="shared" si="5"/>
        <v>0</v>
      </c>
      <c r="J16" s="6">
        <f t="shared" si="6"/>
        <v>0</v>
      </c>
      <c r="K16" s="14" t="b">
        <f t="shared" si="7"/>
        <v>0</v>
      </c>
      <c r="L16" s="130">
        <f t="shared" si="8"/>
        <v>0</v>
      </c>
      <c r="M16" s="14" t="b">
        <f t="shared" si="9"/>
        <v>0</v>
      </c>
      <c r="N16" s="130">
        <f t="shared" si="10"/>
        <v>0</v>
      </c>
      <c r="O16" s="14" t="b">
        <f t="shared" si="11"/>
        <v>0</v>
      </c>
      <c r="P16" s="130">
        <f t="shared" si="12"/>
        <v>0</v>
      </c>
      <c r="Q16" s="14" t="b">
        <f t="shared" si="13"/>
        <v>0</v>
      </c>
      <c r="R16" s="130">
        <f t="shared" si="14"/>
        <v>0</v>
      </c>
      <c r="S16" s="14" t="b">
        <f t="shared" si="15"/>
        <v>0</v>
      </c>
      <c r="T16" s="130">
        <f t="shared" si="16"/>
        <v>0</v>
      </c>
      <c r="U16" s="14" t="b">
        <f t="shared" si="17"/>
        <v>0</v>
      </c>
      <c r="V16" s="130">
        <f t="shared" si="18"/>
        <v>0</v>
      </c>
      <c r="W16" s="14" t="b">
        <f t="shared" si="19"/>
        <v>0</v>
      </c>
      <c r="X16" s="130">
        <f t="shared" si="20"/>
        <v>0</v>
      </c>
      <c r="Y16" s="178">
        <f>IF(BE16="",1,VLOOKUP(BE16,data!$C$3:$D$10,2,FALSE))*(1+BF16)</f>
        <v>1</v>
      </c>
      <c r="Z16" s="84"/>
      <c r="AA16" s="144"/>
      <c r="AB16" s="144"/>
      <c r="AC16" s="84"/>
      <c r="AD16" s="84"/>
      <c r="AE16" s="84"/>
      <c r="AF16" s="84"/>
      <c r="AG16" s="84"/>
      <c r="AH16" s="144"/>
      <c r="AI16" s="144"/>
      <c r="AJ16" s="84"/>
      <c r="AK16" s="84"/>
      <c r="AL16" s="84"/>
      <c r="AM16" s="84"/>
      <c r="AN16" s="84"/>
      <c r="AO16" s="144"/>
      <c r="AP16" s="144"/>
      <c r="AQ16" s="84"/>
      <c r="AR16" s="84"/>
      <c r="AS16" s="84"/>
      <c r="AT16" s="84"/>
      <c r="AU16" s="84"/>
      <c r="AV16" s="144"/>
      <c r="AW16" s="144"/>
      <c r="AX16" s="84"/>
      <c r="AY16" s="84"/>
      <c r="AZ16" s="84"/>
      <c r="BA16" s="84"/>
      <c r="BB16" s="84"/>
      <c r="BC16" s="144"/>
      <c r="BD16" s="144"/>
      <c r="BE16" s="7"/>
      <c r="BF16" s="8"/>
      <c r="BG16" s="8"/>
      <c r="BH16" s="6">
        <f t="shared" si="21"/>
        <v>0</v>
      </c>
      <c r="BI16" s="6">
        <f t="shared" si="22"/>
        <v>0</v>
      </c>
      <c r="BJ16" s="6">
        <f t="shared" si="23"/>
        <v>0</v>
      </c>
      <c r="BK16" s="6">
        <f t="shared" si="2"/>
        <v>0</v>
      </c>
      <c r="BL16" s="6">
        <f t="shared" si="3"/>
        <v>0</v>
      </c>
      <c r="BN16" s="26">
        <f t="shared" si="24"/>
        <v>0</v>
      </c>
      <c r="BO16" s="26">
        <f t="shared" si="25"/>
        <v>0</v>
      </c>
      <c r="BP16" s="26">
        <f t="shared" si="26"/>
        <v>0</v>
      </c>
      <c r="BQ16" s="26">
        <f t="shared" si="27"/>
        <v>0</v>
      </c>
      <c r="BR16" s="26">
        <f t="shared" si="28"/>
        <v>0</v>
      </c>
      <c r="BS16" s="26">
        <f t="shared" si="29"/>
        <v>0</v>
      </c>
    </row>
    <row r="17" spans="1:71" ht="12.75" customHeight="1">
      <c r="A17" s="1"/>
      <c r="B17" s="2"/>
      <c r="C17" s="3"/>
      <c r="D17" s="4"/>
      <c r="E17" s="5">
        <f t="shared" si="4"/>
      </c>
      <c r="F17" s="5">
        <f t="shared" si="1"/>
      </c>
      <c r="G17" s="131"/>
      <c r="H17" s="6">
        <f>IF(OR(C17=0,D17=0),"",VLOOKUP(C17,data!$J$54:$S$54,VLOOKUP(D17,data!$R$4:$S$12,2,FALSE)))</f>
      </c>
      <c r="I17" s="88">
        <f t="shared" si="5"/>
        <v>0</v>
      </c>
      <c r="J17" s="6">
        <f t="shared" si="6"/>
        <v>0</v>
      </c>
      <c r="K17" s="14" t="b">
        <f t="shared" si="7"/>
        <v>0</v>
      </c>
      <c r="L17" s="130">
        <f t="shared" si="8"/>
        <v>0</v>
      </c>
      <c r="M17" s="14" t="b">
        <f t="shared" si="9"/>
        <v>0</v>
      </c>
      <c r="N17" s="130">
        <f t="shared" si="10"/>
        <v>0</v>
      </c>
      <c r="O17" s="14" t="b">
        <f t="shared" si="11"/>
        <v>0</v>
      </c>
      <c r="P17" s="130">
        <f t="shared" si="12"/>
        <v>0</v>
      </c>
      <c r="Q17" s="14" t="b">
        <f t="shared" si="13"/>
        <v>0</v>
      </c>
      <c r="R17" s="130">
        <f t="shared" si="14"/>
        <v>0</v>
      </c>
      <c r="S17" s="14" t="b">
        <f t="shared" si="15"/>
        <v>0</v>
      </c>
      <c r="T17" s="130">
        <f t="shared" si="16"/>
        <v>0</v>
      </c>
      <c r="U17" s="14" t="b">
        <f t="shared" si="17"/>
        <v>0</v>
      </c>
      <c r="V17" s="130">
        <f t="shared" si="18"/>
        <v>0</v>
      </c>
      <c r="W17" s="14" t="b">
        <f t="shared" si="19"/>
        <v>0</v>
      </c>
      <c r="X17" s="130">
        <f t="shared" si="20"/>
        <v>0</v>
      </c>
      <c r="Y17" s="178">
        <f>IF(BE17="",1,VLOOKUP(BE17,data!$C$3:$D$10,2,FALSE))*(1+BF17)</f>
        <v>1</v>
      </c>
      <c r="Z17" s="84"/>
      <c r="AA17" s="144"/>
      <c r="AB17" s="144"/>
      <c r="AC17" s="84"/>
      <c r="AD17" s="84"/>
      <c r="AE17" s="84"/>
      <c r="AF17" s="84"/>
      <c r="AG17" s="84"/>
      <c r="AH17" s="144"/>
      <c r="AI17" s="144"/>
      <c r="AJ17" s="84"/>
      <c r="AK17" s="84"/>
      <c r="AL17" s="84"/>
      <c r="AM17" s="84"/>
      <c r="AN17" s="84"/>
      <c r="AO17" s="144"/>
      <c r="AP17" s="144"/>
      <c r="AQ17" s="84"/>
      <c r="AR17" s="84"/>
      <c r="AS17" s="84"/>
      <c r="AT17" s="84"/>
      <c r="AU17" s="84"/>
      <c r="AV17" s="144"/>
      <c r="AW17" s="144"/>
      <c r="AX17" s="84"/>
      <c r="AY17" s="84"/>
      <c r="AZ17" s="84"/>
      <c r="BA17" s="84"/>
      <c r="BB17" s="84"/>
      <c r="BC17" s="144"/>
      <c r="BD17" s="144"/>
      <c r="BE17" s="7"/>
      <c r="BF17" s="8"/>
      <c r="BG17" s="8"/>
      <c r="BH17" s="6">
        <f t="shared" si="21"/>
        <v>0</v>
      </c>
      <c r="BI17" s="6">
        <f t="shared" si="22"/>
        <v>0</v>
      </c>
      <c r="BJ17" s="6">
        <f t="shared" si="23"/>
        <v>0</v>
      </c>
      <c r="BK17" s="6">
        <f t="shared" si="2"/>
        <v>0</v>
      </c>
      <c r="BL17" s="6">
        <f t="shared" si="3"/>
        <v>0</v>
      </c>
      <c r="BN17" s="26">
        <f t="shared" si="24"/>
        <v>0</v>
      </c>
      <c r="BO17" s="26">
        <f t="shared" si="25"/>
        <v>0</v>
      </c>
      <c r="BP17" s="26">
        <f t="shared" si="26"/>
        <v>0</v>
      </c>
      <c r="BQ17" s="26">
        <f t="shared" si="27"/>
        <v>0</v>
      </c>
      <c r="BR17" s="26">
        <f t="shared" si="28"/>
        <v>0</v>
      </c>
      <c r="BS17" s="26">
        <f t="shared" si="29"/>
        <v>0</v>
      </c>
    </row>
    <row r="18" spans="1:71" ht="12.75" customHeight="1">
      <c r="A18" s="1"/>
      <c r="B18" s="2"/>
      <c r="C18" s="3"/>
      <c r="D18" s="4"/>
      <c r="E18" s="5">
        <f t="shared" si="4"/>
      </c>
      <c r="F18" s="5">
        <f t="shared" si="1"/>
      </c>
      <c r="G18" s="131"/>
      <c r="H18" s="6">
        <f>IF(OR(C18=0,D18=0),"",VLOOKUP(C18,data!$J$54:$S$54,VLOOKUP(D18,data!$R$4:$S$12,2,FALSE)))</f>
      </c>
      <c r="I18" s="88">
        <f t="shared" si="5"/>
        <v>0</v>
      </c>
      <c r="J18" s="6">
        <f t="shared" si="6"/>
        <v>0</v>
      </c>
      <c r="K18" s="14" t="b">
        <f t="shared" si="7"/>
        <v>0</v>
      </c>
      <c r="L18" s="130">
        <f t="shared" si="8"/>
        <v>0</v>
      </c>
      <c r="M18" s="14" t="b">
        <f t="shared" si="9"/>
        <v>0</v>
      </c>
      <c r="N18" s="130">
        <f t="shared" si="10"/>
        <v>0</v>
      </c>
      <c r="O18" s="14" t="b">
        <f t="shared" si="11"/>
        <v>0</v>
      </c>
      <c r="P18" s="130">
        <f t="shared" si="12"/>
        <v>0</v>
      </c>
      <c r="Q18" s="14" t="b">
        <f t="shared" si="13"/>
        <v>0</v>
      </c>
      <c r="R18" s="130">
        <f t="shared" si="14"/>
        <v>0</v>
      </c>
      <c r="S18" s="14" t="b">
        <f t="shared" si="15"/>
        <v>0</v>
      </c>
      <c r="T18" s="130">
        <f t="shared" si="16"/>
        <v>0</v>
      </c>
      <c r="U18" s="14" t="b">
        <f t="shared" si="17"/>
        <v>0</v>
      </c>
      <c r="V18" s="130">
        <f t="shared" si="18"/>
        <v>0</v>
      </c>
      <c r="W18" s="14" t="b">
        <f t="shared" si="19"/>
        <v>0</v>
      </c>
      <c r="X18" s="130">
        <f t="shared" si="20"/>
        <v>0</v>
      </c>
      <c r="Y18" s="178">
        <f>IF(BE18="",1,VLOOKUP(BE18,data!$C$3:$D$10,2,FALSE))*(1+BF18)</f>
        <v>1</v>
      </c>
      <c r="Z18" s="84"/>
      <c r="AA18" s="144"/>
      <c r="AB18" s="144"/>
      <c r="AC18" s="84"/>
      <c r="AD18" s="84"/>
      <c r="AE18" s="84"/>
      <c r="AF18" s="84"/>
      <c r="AG18" s="84"/>
      <c r="AH18" s="144"/>
      <c r="AI18" s="144"/>
      <c r="AJ18" s="84"/>
      <c r="AK18" s="84"/>
      <c r="AL18" s="84"/>
      <c r="AM18" s="84"/>
      <c r="AN18" s="84"/>
      <c r="AO18" s="144"/>
      <c r="AP18" s="144"/>
      <c r="AQ18" s="84"/>
      <c r="AR18" s="84"/>
      <c r="AS18" s="84"/>
      <c r="AT18" s="84"/>
      <c r="AU18" s="84"/>
      <c r="AV18" s="144"/>
      <c r="AW18" s="144"/>
      <c r="AX18" s="84"/>
      <c r="AY18" s="84"/>
      <c r="AZ18" s="84"/>
      <c r="BA18" s="84"/>
      <c r="BB18" s="84"/>
      <c r="BC18" s="144"/>
      <c r="BD18" s="144"/>
      <c r="BE18" s="7"/>
      <c r="BF18" s="8"/>
      <c r="BG18" s="8"/>
      <c r="BH18" s="6">
        <f t="shared" si="21"/>
        <v>0</v>
      </c>
      <c r="BI18" s="6">
        <f t="shared" si="22"/>
        <v>0</v>
      </c>
      <c r="BJ18" s="6">
        <f t="shared" si="23"/>
        <v>0</v>
      </c>
      <c r="BK18" s="6">
        <f t="shared" si="2"/>
        <v>0</v>
      </c>
      <c r="BL18" s="6">
        <f t="shared" si="3"/>
        <v>0</v>
      </c>
      <c r="BN18" s="26">
        <f t="shared" si="24"/>
        <v>0</v>
      </c>
      <c r="BO18" s="26">
        <f t="shared" si="25"/>
        <v>0</v>
      </c>
      <c r="BP18" s="26">
        <f t="shared" si="26"/>
        <v>0</v>
      </c>
      <c r="BQ18" s="26">
        <f t="shared" si="27"/>
        <v>0</v>
      </c>
      <c r="BR18" s="26">
        <f t="shared" si="28"/>
        <v>0</v>
      </c>
      <c r="BS18" s="26">
        <f t="shared" si="29"/>
        <v>0</v>
      </c>
    </row>
    <row r="19" spans="1:71" ht="12.75" customHeight="1">
      <c r="A19" s="1"/>
      <c r="B19" s="2"/>
      <c r="C19" s="3"/>
      <c r="D19" s="4"/>
      <c r="E19" s="5">
        <f t="shared" si="4"/>
      </c>
      <c r="F19" s="5">
        <f t="shared" si="1"/>
      </c>
      <c r="G19" s="131"/>
      <c r="H19" s="6">
        <f>IF(OR(C19=0,D19=0),"",VLOOKUP(C19,data!$J$54:$S$54,VLOOKUP(D19,data!$R$4:$S$12,2,FALSE)))</f>
      </c>
      <c r="I19" s="88">
        <f t="shared" si="5"/>
        <v>0</v>
      </c>
      <c r="J19" s="6">
        <f t="shared" si="6"/>
        <v>0</v>
      </c>
      <c r="K19" s="14" t="b">
        <f t="shared" si="7"/>
        <v>0</v>
      </c>
      <c r="L19" s="130">
        <f t="shared" si="8"/>
        <v>0</v>
      </c>
      <c r="M19" s="14" t="b">
        <f t="shared" si="9"/>
        <v>0</v>
      </c>
      <c r="N19" s="130">
        <f t="shared" si="10"/>
        <v>0</v>
      </c>
      <c r="O19" s="14" t="b">
        <f t="shared" si="11"/>
        <v>0</v>
      </c>
      <c r="P19" s="130">
        <f t="shared" si="12"/>
        <v>0</v>
      </c>
      <c r="Q19" s="14" t="b">
        <f t="shared" si="13"/>
        <v>0</v>
      </c>
      <c r="R19" s="130">
        <f t="shared" si="14"/>
        <v>0</v>
      </c>
      <c r="S19" s="14" t="b">
        <f t="shared" si="15"/>
        <v>0</v>
      </c>
      <c r="T19" s="130">
        <f t="shared" si="16"/>
        <v>0</v>
      </c>
      <c r="U19" s="14" t="b">
        <f t="shared" si="17"/>
        <v>0</v>
      </c>
      <c r="V19" s="130">
        <f t="shared" si="18"/>
        <v>0</v>
      </c>
      <c r="W19" s="14" t="b">
        <f t="shared" si="19"/>
        <v>0</v>
      </c>
      <c r="X19" s="130">
        <f t="shared" si="20"/>
        <v>0</v>
      </c>
      <c r="Y19" s="178">
        <f>IF(BE19="",1,VLOOKUP(BE19,data!$C$3:$D$10,2,FALSE))*(1+BF19)</f>
        <v>1</v>
      </c>
      <c r="Z19" s="84"/>
      <c r="AA19" s="144"/>
      <c r="AB19" s="144"/>
      <c r="AC19" s="84"/>
      <c r="AD19" s="84"/>
      <c r="AE19" s="84"/>
      <c r="AF19" s="84"/>
      <c r="AG19" s="84"/>
      <c r="AH19" s="144"/>
      <c r="AI19" s="144"/>
      <c r="AJ19" s="84"/>
      <c r="AK19" s="84"/>
      <c r="AL19" s="84"/>
      <c r="AM19" s="84"/>
      <c r="AN19" s="84"/>
      <c r="AO19" s="144"/>
      <c r="AP19" s="144"/>
      <c r="AQ19" s="84"/>
      <c r="AR19" s="84"/>
      <c r="AS19" s="84"/>
      <c r="AT19" s="84"/>
      <c r="AU19" s="84"/>
      <c r="AV19" s="144"/>
      <c r="AW19" s="144"/>
      <c r="AX19" s="84"/>
      <c r="AY19" s="84"/>
      <c r="AZ19" s="84"/>
      <c r="BA19" s="84"/>
      <c r="BB19" s="84"/>
      <c r="BC19" s="144"/>
      <c r="BD19" s="144"/>
      <c r="BE19" s="7"/>
      <c r="BF19" s="8"/>
      <c r="BG19" s="8"/>
      <c r="BH19" s="6">
        <f t="shared" si="21"/>
        <v>0</v>
      </c>
      <c r="BI19" s="6">
        <f t="shared" si="22"/>
        <v>0</v>
      </c>
      <c r="BJ19" s="6">
        <f t="shared" si="23"/>
        <v>0</v>
      </c>
      <c r="BK19" s="6">
        <f t="shared" si="2"/>
        <v>0</v>
      </c>
      <c r="BL19" s="6">
        <f t="shared" si="3"/>
        <v>0</v>
      </c>
      <c r="BN19" s="26">
        <f t="shared" si="24"/>
        <v>0</v>
      </c>
      <c r="BO19" s="26">
        <f t="shared" si="25"/>
        <v>0</v>
      </c>
      <c r="BP19" s="26">
        <f t="shared" si="26"/>
        <v>0</v>
      </c>
      <c r="BQ19" s="26">
        <f t="shared" si="27"/>
        <v>0</v>
      </c>
      <c r="BR19" s="26">
        <f t="shared" si="28"/>
        <v>0</v>
      </c>
      <c r="BS19" s="26">
        <f t="shared" si="29"/>
        <v>0</v>
      </c>
    </row>
    <row r="20" spans="1:71" ht="12.75" customHeight="1">
      <c r="A20" s="1"/>
      <c r="B20" s="2"/>
      <c r="C20" s="3"/>
      <c r="D20" s="4"/>
      <c r="E20" s="5">
        <f t="shared" si="4"/>
      </c>
      <c r="F20" s="5">
        <f t="shared" si="1"/>
      </c>
      <c r="G20" s="131"/>
      <c r="H20" s="6">
        <f>IF(OR(C20=0,D20=0),"",VLOOKUP(C20,data!$J$54:$S$54,VLOOKUP(D20,data!$R$4:$S$12,2,FALSE)))</f>
      </c>
      <c r="I20" s="88">
        <f t="shared" si="5"/>
        <v>0</v>
      </c>
      <c r="J20" s="6">
        <f t="shared" si="6"/>
        <v>0</v>
      </c>
      <c r="K20" s="14" t="b">
        <f t="shared" si="7"/>
        <v>0</v>
      </c>
      <c r="L20" s="130">
        <f t="shared" si="8"/>
        <v>0</v>
      </c>
      <c r="M20" s="14" t="b">
        <f t="shared" si="9"/>
        <v>0</v>
      </c>
      <c r="N20" s="130">
        <f t="shared" si="10"/>
        <v>0</v>
      </c>
      <c r="O20" s="14" t="b">
        <f t="shared" si="11"/>
        <v>0</v>
      </c>
      <c r="P20" s="130">
        <f t="shared" si="12"/>
        <v>0</v>
      </c>
      <c r="Q20" s="14" t="b">
        <f t="shared" si="13"/>
        <v>0</v>
      </c>
      <c r="R20" s="130">
        <f t="shared" si="14"/>
        <v>0</v>
      </c>
      <c r="S20" s="14" t="b">
        <f t="shared" si="15"/>
        <v>0</v>
      </c>
      <c r="T20" s="130">
        <f t="shared" si="16"/>
        <v>0</v>
      </c>
      <c r="U20" s="14" t="b">
        <f t="shared" si="17"/>
        <v>0</v>
      </c>
      <c r="V20" s="130">
        <f t="shared" si="18"/>
        <v>0</v>
      </c>
      <c r="W20" s="14" t="b">
        <f t="shared" si="19"/>
        <v>0</v>
      </c>
      <c r="X20" s="130">
        <f t="shared" si="20"/>
        <v>0</v>
      </c>
      <c r="Y20" s="178">
        <f>IF(BE20="",1,VLOOKUP(BE20,data!$C$3:$D$10,2,FALSE))*(1+BF20)</f>
        <v>1</v>
      </c>
      <c r="Z20" s="84"/>
      <c r="AA20" s="144"/>
      <c r="AB20" s="144"/>
      <c r="AC20" s="84"/>
      <c r="AD20" s="84"/>
      <c r="AE20" s="84"/>
      <c r="AF20" s="84"/>
      <c r="AG20" s="84"/>
      <c r="AH20" s="144"/>
      <c r="AI20" s="144"/>
      <c r="AJ20" s="84"/>
      <c r="AK20" s="84"/>
      <c r="AL20" s="84"/>
      <c r="AM20" s="84"/>
      <c r="AN20" s="84"/>
      <c r="AO20" s="144"/>
      <c r="AP20" s="144"/>
      <c r="AQ20" s="84"/>
      <c r="AR20" s="84"/>
      <c r="AS20" s="84"/>
      <c r="AT20" s="84"/>
      <c r="AU20" s="84"/>
      <c r="AV20" s="144"/>
      <c r="AW20" s="144"/>
      <c r="AX20" s="84"/>
      <c r="AY20" s="84"/>
      <c r="AZ20" s="84"/>
      <c r="BA20" s="84"/>
      <c r="BB20" s="84"/>
      <c r="BC20" s="144"/>
      <c r="BD20" s="144"/>
      <c r="BE20" s="7"/>
      <c r="BF20" s="8"/>
      <c r="BG20" s="8"/>
      <c r="BH20" s="6">
        <f t="shared" si="21"/>
        <v>0</v>
      </c>
      <c r="BI20" s="6">
        <f t="shared" si="22"/>
        <v>0</v>
      </c>
      <c r="BJ20" s="6">
        <f t="shared" si="23"/>
        <v>0</v>
      </c>
      <c r="BK20" s="6">
        <f t="shared" si="2"/>
        <v>0</v>
      </c>
      <c r="BL20" s="6">
        <f t="shared" si="3"/>
        <v>0</v>
      </c>
      <c r="BN20" s="26">
        <f t="shared" si="24"/>
        <v>0</v>
      </c>
      <c r="BO20" s="26">
        <f t="shared" si="25"/>
        <v>0</v>
      </c>
      <c r="BP20" s="26">
        <f t="shared" si="26"/>
        <v>0</v>
      </c>
      <c r="BQ20" s="26">
        <f t="shared" si="27"/>
        <v>0</v>
      </c>
      <c r="BR20" s="26">
        <f t="shared" si="28"/>
        <v>0</v>
      </c>
      <c r="BS20" s="26">
        <f t="shared" si="29"/>
        <v>0</v>
      </c>
    </row>
    <row r="21" spans="1:71" ht="12.75" customHeight="1">
      <c r="A21" s="1"/>
      <c r="B21" s="2"/>
      <c r="C21" s="3"/>
      <c r="D21" s="4"/>
      <c r="E21" s="5">
        <f t="shared" si="4"/>
      </c>
      <c r="F21" s="5">
        <f t="shared" si="1"/>
      </c>
      <c r="G21" s="131"/>
      <c r="H21" s="6">
        <f>IF(OR(C21=0,D21=0),"",VLOOKUP(C21,data!$J$54:$S$54,VLOOKUP(D21,data!$R$4:$S$12,2,FALSE)))</f>
      </c>
      <c r="I21" s="88">
        <f t="shared" si="5"/>
        <v>0</v>
      </c>
      <c r="J21" s="6">
        <f t="shared" si="6"/>
        <v>0</v>
      </c>
      <c r="K21" s="14" t="b">
        <f t="shared" si="7"/>
        <v>0</v>
      </c>
      <c r="L21" s="130">
        <f t="shared" si="8"/>
        <v>0</v>
      </c>
      <c r="M21" s="14" t="b">
        <f t="shared" si="9"/>
        <v>0</v>
      </c>
      <c r="N21" s="130">
        <f t="shared" si="10"/>
        <v>0</v>
      </c>
      <c r="O21" s="14" t="b">
        <f t="shared" si="11"/>
        <v>0</v>
      </c>
      <c r="P21" s="130">
        <f t="shared" si="12"/>
        <v>0</v>
      </c>
      <c r="Q21" s="14" t="b">
        <f t="shared" si="13"/>
        <v>0</v>
      </c>
      <c r="R21" s="130">
        <f t="shared" si="14"/>
        <v>0</v>
      </c>
      <c r="S21" s="14" t="b">
        <f t="shared" si="15"/>
        <v>0</v>
      </c>
      <c r="T21" s="130">
        <f t="shared" si="16"/>
        <v>0</v>
      </c>
      <c r="U21" s="14" t="b">
        <f t="shared" si="17"/>
        <v>0</v>
      </c>
      <c r="V21" s="130">
        <f t="shared" si="18"/>
        <v>0</v>
      </c>
      <c r="W21" s="14" t="b">
        <f t="shared" si="19"/>
        <v>0</v>
      </c>
      <c r="X21" s="130">
        <f t="shared" si="20"/>
        <v>0</v>
      </c>
      <c r="Y21" s="178">
        <f>IF(BE21="",1,VLOOKUP(BE21,data!$C$3:$D$10,2,FALSE))*(1+BF21)</f>
        <v>1</v>
      </c>
      <c r="Z21" s="84"/>
      <c r="AA21" s="144"/>
      <c r="AB21" s="144"/>
      <c r="AC21" s="84"/>
      <c r="AD21" s="84"/>
      <c r="AE21" s="84"/>
      <c r="AF21" s="84"/>
      <c r="AG21" s="84"/>
      <c r="AH21" s="144"/>
      <c r="AI21" s="144"/>
      <c r="AJ21" s="84"/>
      <c r="AK21" s="84"/>
      <c r="AL21" s="84"/>
      <c r="AM21" s="84"/>
      <c r="AN21" s="84"/>
      <c r="AO21" s="144"/>
      <c r="AP21" s="144"/>
      <c r="AQ21" s="84"/>
      <c r="AR21" s="84"/>
      <c r="AS21" s="84"/>
      <c r="AT21" s="84"/>
      <c r="AU21" s="84"/>
      <c r="AV21" s="144"/>
      <c r="AW21" s="144"/>
      <c r="AX21" s="84"/>
      <c r="AY21" s="84"/>
      <c r="AZ21" s="84"/>
      <c r="BA21" s="84"/>
      <c r="BB21" s="84"/>
      <c r="BC21" s="144"/>
      <c r="BD21" s="144"/>
      <c r="BE21" s="7"/>
      <c r="BF21" s="8"/>
      <c r="BG21" s="8"/>
      <c r="BH21" s="6">
        <f t="shared" si="21"/>
        <v>0</v>
      </c>
      <c r="BI21" s="6">
        <f t="shared" si="22"/>
        <v>0</v>
      </c>
      <c r="BJ21" s="6">
        <f t="shared" si="23"/>
        <v>0</v>
      </c>
      <c r="BK21" s="6">
        <f t="shared" si="2"/>
        <v>0</v>
      </c>
      <c r="BL21" s="6">
        <f t="shared" si="3"/>
        <v>0</v>
      </c>
      <c r="BN21" s="26">
        <f t="shared" si="24"/>
        <v>0</v>
      </c>
      <c r="BO21" s="26">
        <f t="shared" si="25"/>
        <v>0</v>
      </c>
      <c r="BP21" s="26">
        <f t="shared" si="26"/>
        <v>0</v>
      </c>
      <c r="BQ21" s="26">
        <f t="shared" si="27"/>
        <v>0</v>
      </c>
      <c r="BR21" s="26">
        <f t="shared" si="28"/>
        <v>0</v>
      </c>
      <c r="BS21" s="26">
        <f t="shared" si="29"/>
        <v>0</v>
      </c>
    </row>
    <row r="22" spans="1:71" ht="12.75" customHeight="1">
      <c r="A22" s="1"/>
      <c r="B22" s="2"/>
      <c r="C22" s="3"/>
      <c r="D22" s="4"/>
      <c r="E22" s="5">
        <f t="shared" si="4"/>
      </c>
      <c r="F22" s="5">
        <f t="shared" si="1"/>
      </c>
      <c r="G22" s="131"/>
      <c r="H22" s="6">
        <f>IF(OR(C22=0,D22=0),"",VLOOKUP(C22,data!$J$54:$S$54,VLOOKUP(D22,data!$R$4:$S$12,2,FALSE)))</f>
      </c>
      <c r="I22" s="88">
        <f t="shared" si="5"/>
        <v>0</v>
      </c>
      <c r="J22" s="6">
        <f t="shared" si="6"/>
        <v>0</v>
      </c>
      <c r="K22" s="14" t="b">
        <f t="shared" si="7"/>
        <v>0</v>
      </c>
      <c r="L22" s="130">
        <f t="shared" si="8"/>
        <v>0</v>
      </c>
      <c r="M22" s="14" t="b">
        <f t="shared" si="9"/>
        <v>0</v>
      </c>
      <c r="N22" s="130">
        <f t="shared" si="10"/>
        <v>0</v>
      </c>
      <c r="O22" s="14" t="b">
        <f t="shared" si="11"/>
        <v>0</v>
      </c>
      <c r="P22" s="130">
        <f t="shared" si="12"/>
        <v>0</v>
      </c>
      <c r="Q22" s="14" t="b">
        <f t="shared" si="13"/>
        <v>0</v>
      </c>
      <c r="R22" s="130">
        <f t="shared" si="14"/>
        <v>0</v>
      </c>
      <c r="S22" s="14" t="b">
        <f t="shared" si="15"/>
        <v>0</v>
      </c>
      <c r="T22" s="130">
        <f t="shared" si="16"/>
        <v>0</v>
      </c>
      <c r="U22" s="14" t="b">
        <f t="shared" si="17"/>
        <v>0</v>
      </c>
      <c r="V22" s="130">
        <f t="shared" si="18"/>
        <v>0</v>
      </c>
      <c r="W22" s="14" t="b">
        <f t="shared" si="19"/>
        <v>0</v>
      </c>
      <c r="X22" s="130">
        <f t="shared" si="20"/>
        <v>0</v>
      </c>
      <c r="Y22" s="178">
        <f>IF(BE22="",1,VLOOKUP(BE22,data!$C$3:$D$10,2,FALSE))*(1+BF22)</f>
        <v>1</v>
      </c>
      <c r="Z22" s="84"/>
      <c r="AA22" s="144"/>
      <c r="AB22" s="144"/>
      <c r="AC22" s="84"/>
      <c r="AD22" s="84"/>
      <c r="AE22" s="84"/>
      <c r="AF22" s="84"/>
      <c r="AG22" s="84"/>
      <c r="AH22" s="144"/>
      <c r="AI22" s="144"/>
      <c r="AJ22" s="84"/>
      <c r="AK22" s="84"/>
      <c r="AL22" s="84"/>
      <c r="AM22" s="84"/>
      <c r="AN22" s="84"/>
      <c r="AO22" s="144"/>
      <c r="AP22" s="144"/>
      <c r="AQ22" s="84"/>
      <c r="AR22" s="84"/>
      <c r="AS22" s="84"/>
      <c r="AT22" s="84"/>
      <c r="AU22" s="84"/>
      <c r="AV22" s="144"/>
      <c r="AW22" s="144"/>
      <c r="AX22" s="84"/>
      <c r="AY22" s="84"/>
      <c r="AZ22" s="84"/>
      <c r="BA22" s="84"/>
      <c r="BB22" s="84"/>
      <c r="BC22" s="144"/>
      <c r="BD22" s="144"/>
      <c r="BE22" s="7"/>
      <c r="BF22" s="8"/>
      <c r="BG22" s="8"/>
      <c r="BH22" s="6">
        <f t="shared" si="21"/>
        <v>0</v>
      </c>
      <c r="BI22" s="6">
        <f t="shared" si="22"/>
        <v>0</v>
      </c>
      <c r="BJ22" s="6">
        <f t="shared" si="23"/>
        <v>0</v>
      </c>
      <c r="BK22" s="6">
        <f t="shared" si="2"/>
        <v>0</v>
      </c>
      <c r="BL22" s="6">
        <f t="shared" si="3"/>
        <v>0</v>
      </c>
      <c r="BN22" s="26">
        <f t="shared" si="24"/>
        <v>0</v>
      </c>
      <c r="BO22" s="26">
        <f t="shared" si="25"/>
        <v>0</v>
      </c>
      <c r="BP22" s="26">
        <f t="shared" si="26"/>
        <v>0</v>
      </c>
      <c r="BQ22" s="26">
        <f t="shared" si="27"/>
        <v>0</v>
      </c>
      <c r="BR22" s="26">
        <f t="shared" si="28"/>
        <v>0</v>
      </c>
      <c r="BS22" s="26">
        <f t="shared" si="29"/>
        <v>0</v>
      </c>
    </row>
    <row r="23" spans="1:71" ht="12.75" customHeight="1">
      <c r="A23" s="1"/>
      <c r="B23" s="2"/>
      <c r="C23" s="3"/>
      <c r="D23" s="4"/>
      <c r="E23" s="5">
        <f t="shared" si="4"/>
      </c>
      <c r="F23" s="5">
        <f t="shared" si="1"/>
      </c>
      <c r="G23" s="131"/>
      <c r="H23" s="6">
        <f>IF(OR(C23=0,D23=0),"",VLOOKUP(C23,data!$J$54:$S$54,VLOOKUP(D23,data!$R$4:$S$12,2,FALSE)))</f>
      </c>
      <c r="I23" s="88">
        <f t="shared" si="5"/>
        <v>0</v>
      </c>
      <c r="J23" s="6">
        <f t="shared" si="6"/>
        <v>0</v>
      </c>
      <c r="K23" s="14" t="b">
        <f t="shared" si="7"/>
        <v>0</v>
      </c>
      <c r="L23" s="130">
        <f t="shared" si="8"/>
        <v>0</v>
      </c>
      <c r="M23" s="14" t="b">
        <f t="shared" si="9"/>
        <v>0</v>
      </c>
      <c r="N23" s="130">
        <f t="shared" si="10"/>
        <v>0</v>
      </c>
      <c r="O23" s="14" t="b">
        <f t="shared" si="11"/>
        <v>0</v>
      </c>
      <c r="P23" s="130">
        <f t="shared" si="12"/>
        <v>0</v>
      </c>
      <c r="Q23" s="14" t="b">
        <f t="shared" si="13"/>
        <v>0</v>
      </c>
      <c r="R23" s="130">
        <f t="shared" si="14"/>
        <v>0</v>
      </c>
      <c r="S23" s="14" t="b">
        <f t="shared" si="15"/>
        <v>0</v>
      </c>
      <c r="T23" s="130">
        <f t="shared" si="16"/>
        <v>0</v>
      </c>
      <c r="U23" s="14" t="b">
        <f t="shared" si="17"/>
        <v>0</v>
      </c>
      <c r="V23" s="130">
        <f t="shared" si="18"/>
        <v>0</v>
      </c>
      <c r="W23" s="14" t="b">
        <f t="shared" si="19"/>
        <v>0</v>
      </c>
      <c r="X23" s="130">
        <f t="shared" si="20"/>
        <v>0</v>
      </c>
      <c r="Y23" s="178">
        <f>IF(BE23="",1,VLOOKUP(BE23,data!$C$3:$D$10,2,FALSE))*(1+BF23)</f>
        <v>1</v>
      </c>
      <c r="Z23" s="84"/>
      <c r="AA23" s="144"/>
      <c r="AB23" s="144"/>
      <c r="AC23" s="84"/>
      <c r="AD23" s="84"/>
      <c r="AE23" s="84"/>
      <c r="AF23" s="84"/>
      <c r="AG23" s="84"/>
      <c r="AH23" s="144"/>
      <c r="AI23" s="144"/>
      <c r="AJ23" s="84"/>
      <c r="AK23" s="84"/>
      <c r="AL23" s="84"/>
      <c r="AM23" s="84"/>
      <c r="AN23" s="84"/>
      <c r="AO23" s="144"/>
      <c r="AP23" s="144"/>
      <c r="AQ23" s="84"/>
      <c r="AR23" s="84"/>
      <c r="AS23" s="84"/>
      <c r="AT23" s="84"/>
      <c r="AU23" s="84"/>
      <c r="AV23" s="144"/>
      <c r="AW23" s="144"/>
      <c r="AX23" s="84"/>
      <c r="AY23" s="84"/>
      <c r="AZ23" s="84"/>
      <c r="BA23" s="84"/>
      <c r="BB23" s="84"/>
      <c r="BC23" s="144"/>
      <c r="BD23" s="144"/>
      <c r="BE23" s="7"/>
      <c r="BF23" s="8"/>
      <c r="BG23" s="8"/>
      <c r="BH23" s="6">
        <f t="shared" si="21"/>
        <v>0</v>
      </c>
      <c r="BI23" s="6">
        <f t="shared" si="22"/>
        <v>0</v>
      </c>
      <c r="BJ23" s="6">
        <f t="shared" si="23"/>
        <v>0</v>
      </c>
      <c r="BK23" s="6">
        <f t="shared" si="2"/>
        <v>0</v>
      </c>
      <c r="BL23" s="6">
        <f t="shared" si="3"/>
        <v>0</v>
      </c>
      <c r="BN23" s="26">
        <f t="shared" si="24"/>
        <v>0</v>
      </c>
      <c r="BO23" s="26">
        <f t="shared" si="25"/>
        <v>0</v>
      </c>
      <c r="BP23" s="26">
        <f t="shared" si="26"/>
        <v>0</v>
      </c>
      <c r="BQ23" s="26">
        <f t="shared" si="27"/>
        <v>0</v>
      </c>
      <c r="BR23" s="26">
        <f t="shared" si="28"/>
        <v>0</v>
      </c>
      <c r="BS23" s="26">
        <f t="shared" si="29"/>
        <v>0</v>
      </c>
    </row>
    <row r="24" spans="1:71" ht="12.75" customHeight="1">
      <c r="A24" s="1"/>
      <c r="B24" s="2"/>
      <c r="C24" s="3"/>
      <c r="D24" s="4"/>
      <c r="E24" s="5">
        <f t="shared" si="4"/>
      </c>
      <c r="F24" s="5">
        <f t="shared" si="1"/>
      </c>
      <c r="G24" s="131"/>
      <c r="H24" s="6">
        <f>IF(OR(C24=0,D24=0),"",VLOOKUP(C24,data!$J$54:$S$54,VLOOKUP(D24,data!$R$4:$S$12,2,FALSE)))</f>
      </c>
      <c r="I24" s="88">
        <f t="shared" si="5"/>
        <v>0</v>
      </c>
      <c r="J24" s="6">
        <f t="shared" si="6"/>
        <v>0</v>
      </c>
      <c r="K24" s="14" t="b">
        <f t="shared" si="7"/>
        <v>0</v>
      </c>
      <c r="L24" s="130">
        <f t="shared" si="8"/>
        <v>0</v>
      </c>
      <c r="M24" s="14" t="b">
        <f t="shared" si="9"/>
        <v>0</v>
      </c>
      <c r="N24" s="130">
        <f t="shared" si="10"/>
        <v>0</v>
      </c>
      <c r="O24" s="14" t="b">
        <f t="shared" si="11"/>
        <v>0</v>
      </c>
      <c r="P24" s="130">
        <f t="shared" si="12"/>
        <v>0</v>
      </c>
      <c r="Q24" s="14" t="b">
        <f t="shared" si="13"/>
        <v>0</v>
      </c>
      <c r="R24" s="130">
        <f t="shared" si="14"/>
        <v>0</v>
      </c>
      <c r="S24" s="14" t="b">
        <f t="shared" si="15"/>
        <v>0</v>
      </c>
      <c r="T24" s="130">
        <f t="shared" si="16"/>
        <v>0</v>
      </c>
      <c r="U24" s="14" t="b">
        <f t="shared" si="17"/>
        <v>0</v>
      </c>
      <c r="V24" s="130">
        <f t="shared" si="18"/>
        <v>0</v>
      </c>
      <c r="W24" s="14" t="b">
        <f t="shared" si="19"/>
        <v>0</v>
      </c>
      <c r="X24" s="130">
        <f t="shared" si="20"/>
        <v>0</v>
      </c>
      <c r="Y24" s="178">
        <f>IF(BE24="",1,VLOOKUP(BE24,data!$C$3:$D$10,2,FALSE))*(1+BF24)</f>
        <v>1</v>
      </c>
      <c r="Z24" s="85"/>
      <c r="AA24" s="84"/>
      <c r="AB24" s="144"/>
      <c r="AC24" s="85"/>
      <c r="AD24" s="85"/>
      <c r="AE24" s="85"/>
      <c r="AF24" s="85"/>
      <c r="AG24" s="85"/>
      <c r="AH24" s="84"/>
      <c r="AI24" s="144"/>
      <c r="AJ24" s="85"/>
      <c r="AK24" s="85"/>
      <c r="AL24" s="85"/>
      <c r="AM24" s="85"/>
      <c r="AN24" s="85"/>
      <c r="AO24" s="84"/>
      <c r="AP24" s="144"/>
      <c r="AQ24" s="85"/>
      <c r="AR24" s="85"/>
      <c r="AS24" s="85"/>
      <c r="AT24" s="85"/>
      <c r="AU24" s="85"/>
      <c r="AV24" s="84"/>
      <c r="AW24" s="144"/>
      <c r="AX24" s="85"/>
      <c r="AY24" s="85"/>
      <c r="AZ24" s="85"/>
      <c r="BA24" s="85"/>
      <c r="BB24" s="85"/>
      <c r="BC24" s="84"/>
      <c r="BD24" s="144"/>
      <c r="BE24" s="7"/>
      <c r="BF24" s="8"/>
      <c r="BG24" s="8"/>
      <c r="BH24" s="6">
        <f t="shared" si="21"/>
        <v>0</v>
      </c>
      <c r="BI24" s="6">
        <f t="shared" si="22"/>
        <v>0</v>
      </c>
      <c r="BJ24" s="6">
        <f t="shared" si="23"/>
        <v>0</v>
      </c>
      <c r="BK24" s="6">
        <f t="shared" si="2"/>
        <v>0</v>
      </c>
      <c r="BL24" s="6">
        <f t="shared" si="3"/>
        <v>0</v>
      </c>
      <c r="BN24" s="26">
        <f t="shared" si="24"/>
        <v>0</v>
      </c>
      <c r="BO24" s="26">
        <f t="shared" si="25"/>
        <v>0</v>
      </c>
      <c r="BP24" s="26">
        <f t="shared" si="26"/>
        <v>0</v>
      </c>
      <c r="BQ24" s="26">
        <f t="shared" si="27"/>
        <v>0</v>
      </c>
      <c r="BR24" s="26">
        <f t="shared" si="28"/>
        <v>0</v>
      </c>
      <c r="BS24" s="26">
        <f t="shared" si="29"/>
        <v>0</v>
      </c>
    </row>
    <row r="25" spans="1:71" ht="12.75" customHeight="1">
      <c r="A25" s="1"/>
      <c r="B25" s="2"/>
      <c r="C25" s="3"/>
      <c r="D25" s="4"/>
      <c r="E25" s="5">
        <f t="shared" si="4"/>
      </c>
      <c r="F25" s="5">
        <f t="shared" si="1"/>
      </c>
      <c r="G25" s="131"/>
      <c r="H25" s="6">
        <f>IF(OR(C25=0,D25=0),"",VLOOKUP(C25,data!$J$54:$S$54,VLOOKUP(D25,data!$R$4:$S$12,2,FALSE)))</f>
      </c>
      <c r="I25" s="88">
        <f t="shared" si="5"/>
        <v>0</v>
      </c>
      <c r="J25" s="6">
        <f t="shared" si="6"/>
        <v>0</v>
      </c>
      <c r="K25" s="14" t="b">
        <f t="shared" si="7"/>
        <v>0</v>
      </c>
      <c r="L25" s="130">
        <f t="shared" si="8"/>
        <v>0</v>
      </c>
      <c r="M25" s="14" t="b">
        <f t="shared" si="9"/>
        <v>0</v>
      </c>
      <c r="N25" s="130">
        <f t="shared" si="10"/>
        <v>0</v>
      </c>
      <c r="O25" s="14" t="b">
        <f t="shared" si="11"/>
        <v>0</v>
      </c>
      <c r="P25" s="130">
        <f t="shared" si="12"/>
        <v>0</v>
      </c>
      <c r="Q25" s="14" t="b">
        <f t="shared" si="13"/>
        <v>0</v>
      </c>
      <c r="R25" s="130">
        <f t="shared" si="14"/>
        <v>0</v>
      </c>
      <c r="S25" s="14" t="b">
        <f t="shared" si="15"/>
        <v>0</v>
      </c>
      <c r="T25" s="130">
        <f t="shared" si="16"/>
        <v>0</v>
      </c>
      <c r="U25" s="14" t="b">
        <f t="shared" si="17"/>
        <v>0</v>
      </c>
      <c r="V25" s="130">
        <f t="shared" si="18"/>
        <v>0</v>
      </c>
      <c r="W25" s="14" t="b">
        <f t="shared" si="19"/>
        <v>0</v>
      </c>
      <c r="X25" s="130">
        <f t="shared" si="20"/>
        <v>0</v>
      </c>
      <c r="Y25" s="178">
        <f>IF(BE25="",1,VLOOKUP(BE25,data!$C$3:$D$10,2,FALSE))*(1+BF25)</f>
        <v>1</v>
      </c>
      <c r="Z25" s="85"/>
      <c r="AA25" s="84"/>
      <c r="AB25" s="144"/>
      <c r="AC25" s="85"/>
      <c r="AD25" s="85"/>
      <c r="AE25" s="85"/>
      <c r="AF25" s="85"/>
      <c r="AG25" s="85"/>
      <c r="AH25" s="84"/>
      <c r="AI25" s="144"/>
      <c r="AJ25" s="85"/>
      <c r="AK25" s="85"/>
      <c r="AL25" s="85"/>
      <c r="AM25" s="85"/>
      <c r="AN25" s="85"/>
      <c r="AO25" s="84"/>
      <c r="AP25" s="144"/>
      <c r="AQ25" s="85"/>
      <c r="AR25" s="85"/>
      <c r="AS25" s="85"/>
      <c r="AT25" s="85"/>
      <c r="AU25" s="85"/>
      <c r="AV25" s="84"/>
      <c r="AW25" s="144"/>
      <c r="AX25" s="85"/>
      <c r="AY25" s="85"/>
      <c r="AZ25" s="85"/>
      <c r="BA25" s="85"/>
      <c r="BB25" s="85"/>
      <c r="BC25" s="84"/>
      <c r="BD25" s="144"/>
      <c r="BE25" s="7"/>
      <c r="BF25" s="8"/>
      <c r="BG25" s="8"/>
      <c r="BH25" s="6">
        <f t="shared" si="21"/>
        <v>0</v>
      </c>
      <c r="BI25" s="6">
        <f t="shared" si="22"/>
        <v>0</v>
      </c>
      <c r="BJ25" s="6">
        <f t="shared" si="23"/>
        <v>0</v>
      </c>
      <c r="BK25" s="6">
        <f t="shared" si="2"/>
        <v>0</v>
      </c>
      <c r="BL25" s="6">
        <f t="shared" si="3"/>
        <v>0</v>
      </c>
      <c r="BN25" s="26">
        <f t="shared" si="24"/>
        <v>0</v>
      </c>
      <c r="BO25" s="26">
        <f t="shared" si="25"/>
        <v>0</v>
      </c>
      <c r="BP25" s="26">
        <f t="shared" si="26"/>
        <v>0</v>
      </c>
      <c r="BQ25" s="26">
        <f t="shared" si="27"/>
        <v>0</v>
      </c>
      <c r="BR25" s="26">
        <f t="shared" si="28"/>
        <v>0</v>
      </c>
      <c r="BS25" s="26">
        <f t="shared" si="29"/>
        <v>0</v>
      </c>
    </row>
    <row r="26" spans="1:71" ht="12.75" customHeight="1">
      <c r="A26" s="1"/>
      <c r="B26" s="2"/>
      <c r="C26" s="3"/>
      <c r="D26" s="4"/>
      <c r="E26" s="5">
        <f t="shared" si="4"/>
      </c>
      <c r="F26" s="5">
        <f t="shared" si="1"/>
      </c>
      <c r="G26" s="131"/>
      <c r="H26" s="6">
        <f>IF(OR(C26=0,D26=0),"",VLOOKUP(C26,data!$J$54:$S$54,VLOOKUP(D26,data!$R$4:$S$12,2,FALSE)))</f>
      </c>
      <c r="I26" s="88">
        <f t="shared" si="5"/>
        <v>0</v>
      </c>
      <c r="J26" s="6">
        <f t="shared" si="6"/>
        <v>0</v>
      </c>
      <c r="K26" s="14" t="b">
        <f t="shared" si="7"/>
        <v>0</v>
      </c>
      <c r="L26" s="130">
        <f t="shared" si="8"/>
        <v>0</v>
      </c>
      <c r="M26" s="14" t="b">
        <f t="shared" si="9"/>
        <v>0</v>
      </c>
      <c r="N26" s="130">
        <f t="shared" si="10"/>
        <v>0</v>
      </c>
      <c r="O26" s="14" t="b">
        <f t="shared" si="11"/>
        <v>0</v>
      </c>
      <c r="P26" s="130">
        <f t="shared" si="12"/>
        <v>0</v>
      </c>
      <c r="Q26" s="14" t="b">
        <f t="shared" si="13"/>
        <v>0</v>
      </c>
      <c r="R26" s="130">
        <f t="shared" si="14"/>
        <v>0</v>
      </c>
      <c r="S26" s="14" t="b">
        <f t="shared" si="15"/>
        <v>0</v>
      </c>
      <c r="T26" s="130">
        <f t="shared" si="16"/>
        <v>0</v>
      </c>
      <c r="U26" s="14" t="b">
        <f t="shared" si="17"/>
        <v>0</v>
      </c>
      <c r="V26" s="130">
        <f t="shared" si="18"/>
        <v>0</v>
      </c>
      <c r="W26" s="14" t="b">
        <f t="shared" si="19"/>
        <v>0</v>
      </c>
      <c r="X26" s="130">
        <f t="shared" si="20"/>
        <v>0</v>
      </c>
      <c r="Y26" s="178">
        <f>IF(BE26="",1,VLOOKUP(BE26,data!$C$3:$D$10,2,FALSE))*(1+BF26)</f>
        <v>1</v>
      </c>
      <c r="Z26" s="85"/>
      <c r="AA26" s="84"/>
      <c r="AB26" s="144"/>
      <c r="AC26" s="85"/>
      <c r="AD26" s="85"/>
      <c r="AE26" s="85"/>
      <c r="AF26" s="85"/>
      <c r="AG26" s="85"/>
      <c r="AH26" s="84"/>
      <c r="AI26" s="144"/>
      <c r="AJ26" s="85"/>
      <c r="AK26" s="85"/>
      <c r="AL26" s="85"/>
      <c r="AM26" s="85"/>
      <c r="AN26" s="85"/>
      <c r="AO26" s="84"/>
      <c r="AP26" s="144"/>
      <c r="AQ26" s="85"/>
      <c r="AR26" s="85"/>
      <c r="AS26" s="85"/>
      <c r="AT26" s="85"/>
      <c r="AU26" s="85"/>
      <c r="AV26" s="84"/>
      <c r="AW26" s="144"/>
      <c r="AX26" s="85"/>
      <c r="AY26" s="85"/>
      <c r="AZ26" s="85"/>
      <c r="BA26" s="85"/>
      <c r="BB26" s="85"/>
      <c r="BC26" s="84"/>
      <c r="BD26" s="144"/>
      <c r="BE26" s="7"/>
      <c r="BF26" s="8"/>
      <c r="BG26" s="8"/>
      <c r="BH26" s="6">
        <f t="shared" si="21"/>
        <v>0</v>
      </c>
      <c r="BI26" s="6">
        <f t="shared" si="22"/>
        <v>0</v>
      </c>
      <c r="BJ26" s="6">
        <f t="shared" si="23"/>
        <v>0</v>
      </c>
      <c r="BK26" s="6">
        <f t="shared" si="2"/>
        <v>0</v>
      </c>
      <c r="BL26" s="6">
        <f t="shared" si="3"/>
        <v>0</v>
      </c>
      <c r="BN26" s="26">
        <f t="shared" si="24"/>
        <v>0</v>
      </c>
      <c r="BO26" s="26">
        <f t="shared" si="25"/>
        <v>0</v>
      </c>
      <c r="BP26" s="26">
        <f t="shared" si="26"/>
        <v>0</v>
      </c>
      <c r="BQ26" s="26">
        <f t="shared" si="27"/>
        <v>0</v>
      </c>
      <c r="BR26" s="26">
        <f t="shared" si="28"/>
        <v>0</v>
      </c>
      <c r="BS26" s="26">
        <f t="shared" si="29"/>
        <v>0</v>
      </c>
    </row>
    <row r="27" spans="1:71" ht="12.75" customHeight="1">
      <c r="A27" s="1"/>
      <c r="B27" s="2"/>
      <c r="C27" s="3"/>
      <c r="D27" s="4"/>
      <c r="E27" s="5">
        <f t="shared" si="4"/>
      </c>
      <c r="F27" s="5">
        <f t="shared" si="1"/>
      </c>
      <c r="G27" s="131"/>
      <c r="H27" s="6">
        <f>IF(OR(C27=0,D27=0),"",VLOOKUP(C27,data!$J$54:$S$54,VLOOKUP(D27,data!$R$4:$S$12,2,FALSE)))</f>
      </c>
      <c r="I27" s="88">
        <f t="shared" si="5"/>
        <v>0</v>
      </c>
      <c r="J27" s="6">
        <f t="shared" si="6"/>
        <v>0</v>
      </c>
      <c r="K27" s="14" t="b">
        <f t="shared" si="7"/>
        <v>0</v>
      </c>
      <c r="L27" s="130">
        <f t="shared" si="8"/>
        <v>0</v>
      </c>
      <c r="M27" s="14" t="b">
        <f t="shared" si="9"/>
        <v>0</v>
      </c>
      <c r="N27" s="130">
        <f t="shared" si="10"/>
        <v>0</v>
      </c>
      <c r="O27" s="14" t="b">
        <f t="shared" si="11"/>
        <v>0</v>
      </c>
      <c r="P27" s="130">
        <f t="shared" si="12"/>
        <v>0</v>
      </c>
      <c r="Q27" s="14" t="b">
        <f t="shared" si="13"/>
        <v>0</v>
      </c>
      <c r="R27" s="130">
        <f t="shared" si="14"/>
        <v>0</v>
      </c>
      <c r="S27" s="14" t="b">
        <f t="shared" si="15"/>
        <v>0</v>
      </c>
      <c r="T27" s="130">
        <f t="shared" si="16"/>
        <v>0</v>
      </c>
      <c r="U27" s="14" t="b">
        <f t="shared" si="17"/>
        <v>0</v>
      </c>
      <c r="V27" s="130">
        <f t="shared" si="18"/>
        <v>0</v>
      </c>
      <c r="W27" s="14" t="b">
        <f t="shared" si="19"/>
        <v>0</v>
      </c>
      <c r="X27" s="130">
        <f t="shared" si="20"/>
        <v>0</v>
      </c>
      <c r="Y27" s="178">
        <f>IF(BE27="",1,VLOOKUP(BE27,data!$C$3:$D$10,2,FALSE))*(1+BF27)</f>
        <v>1</v>
      </c>
      <c r="Z27" s="85"/>
      <c r="AA27" s="84"/>
      <c r="AB27" s="144"/>
      <c r="AC27" s="85"/>
      <c r="AD27" s="85"/>
      <c r="AE27" s="85"/>
      <c r="AF27" s="85"/>
      <c r="AG27" s="85"/>
      <c r="AH27" s="84"/>
      <c r="AI27" s="144"/>
      <c r="AJ27" s="85"/>
      <c r="AK27" s="85"/>
      <c r="AL27" s="85"/>
      <c r="AM27" s="85"/>
      <c r="AN27" s="85"/>
      <c r="AO27" s="84"/>
      <c r="AP27" s="144"/>
      <c r="AQ27" s="85"/>
      <c r="AR27" s="85"/>
      <c r="AS27" s="85"/>
      <c r="AT27" s="85"/>
      <c r="AU27" s="85"/>
      <c r="AV27" s="84"/>
      <c r="AW27" s="144"/>
      <c r="AX27" s="85"/>
      <c r="AY27" s="85"/>
      <c r="AZ27" s="85"/>
      <c r="BA27" s="85"/>
      <c r="BB27" s="85"/>
      <c r="BC27" s="84"/>
      <c r="BD27" s="144"/>
      <c r="BE27" s="7"/>
      <c r="BF27" s="8"/>
      <c r="BG27" s="8"/>
      <c r="BH27" s="6">
        <f t="shared" si="21"/>
        <v>0</v>
      </c>
      <c r="BI27" s="6">
        <f t="shared" si="22"/>
        <v>0</v>
      </c>
      <c r="BJ27" s="6">
        <f t="shared" si="23"/>
        <v>0</v>
      </c>
      <c r="BK27" s="6">
        <f t="shared" si="2"/>
        <v>0</v>
      </c>
      <c r="BL27" s="6">
        <f t="shared" si="3"/>
        <v>0</v>
      </c>
      <c r="BN27" s="26">
        <f t="shared" si="24"/>
        <v>0</v>
      </c>
      <c r="BO27" s="26">
        <f t="shared" si="25"/>
        <v>0</v>
      </c>
      <c r="BP27" s="26">
        <f t="shared" si="26"/>
        <v>0</v>
      </c>
      <c r="BQ27" s="26">
        <f t="shared" si="27"/>
        <v>0</v>
      </c>
      <c r="BR27" s="26">
        <f t="shared" si="28"/>
        <v>0</v>
      </c>
      <c r="BS27" s="26">
        <f t="shared" si="29"/>
        <v>0</v>
      </c>
    </row>
    <row r="28" spans="1:71" ht="12.75" customHeight="1">
      <c r="A28" s="1"/>
      <c r="B28" s="2"/>
      <c r="C28" s="3"/>
      <c r="D28" s="4"/>
      <c r="E28" s="5">
        <f t="shared" si="4"/>
      </c>
      <c r="F28" s="5">
        <f t="shared" si="1"/>
      </c>
      <c r="G28" s="131"/>
      <c r="H28" s="6">
        <f>IF(OR(C28=0,D28=0),"",VLOOKUP(C28,data!$J$54:$S$54,VLOOKUP(D28,data!$R$4:$S$12,2,FALSE)))</f>
      </c>
      <c r="I28" s="88">
        <f t="shared" si="5"/>
        <v>0</v>
      </c>
      <c r="J28" s="6">
        <f t="shared" si="6"/>
        <v>0</v>
      </c>
      <c r="K28" s="14" t="b">
        <f t="shared" si="7"/>
        <v>0</v>
      </c>
      <c r="L28" s="130">
        <f t="shared" si="8"/>
        <v>0</v>
      </c>
      <c r="M28" s="14" t="b">
        <f t="shared" si="9"/>
        <v>0</v>
      </c>
      <c r="N28" s="130">
        <f t="shared" si="10"/>
        <v>0</v>
      </c>
      <c r="O28" s="14" t="b">
        <f t="shared" si="11"/>
        <v>0</v>
      </c>
      <c r="P28" s="130">
        <f t="shared" si="12"/>
        <v>0</v>
      </c>
      <c r="Q28" s="14" t="b">
        <f t="shared" si="13"/>
        <v>0</v>
      </c>
      <c r="R28" s="130">
        <f t="shared" si="14"/>
        <v>0</v>
      </c>
      <c r="S28" s="14" t="b">
        <f t="shared" si="15"/>
        <v>0</v>
      </c>
      <c r="T28" s="130">
        <f t="shared" si="16"/>
        <v>0</v>
      </c>
      <c r="U28" s="14" t="b">
        <f t="shared" si="17"/>
        <v>0</v>
      </c>
      <c r="V28" s="130">
        <f t="shared" si="18"/>
        <v>0</v>
      </c>
      <c r="W28" s="14" t="b">
        <f t="shared" si="19"/>
        <v>0</v>
      </c>
      <c r="X28" s="130">
        <f t="shared" si="20"/>
        <v>0</v>
      </c>
      <c r="Y28" s="178">
        <f>IF(BE28="",1,VLOOKUP(BE28,data!$C$3:$D$10,2,FALSE))*(1+BF28)</f>
        <v>1</v>
      </c>
      <c r="Z28" s="85"/>
      <c r="AA28" s="84"/>
      <c r="AB28" s="144"/>
      <c r="AC28" s="85"/>
      <c r="AD28" s="85"/>
      <c r="AE28" s="85"/>
      <c r="AF28" s="85"/>
      <c r="AG28" s="85"/>
      <c r="AH28" s="84"/>
      <c r="AI28" s="144"/>
      <c r="AJ28" s="85"/>
      <c r="AK28" s="85"/>
      <c r="AL28" s="85"/>
      <c r="AM28" s="85"/>
      <c r="AN28" s="85"/>
      <c r="AO28" s="84"/>
      <c r="AP28" s="144"/>
      <c r="AQ28" s="85"/>
      <c r="AR28" s="85"/>
      <c r="AS28" s="85"/>
      <c r="AT28" s="85"/>
      <c r="AU28" s="85"/>
      <c r="AV28" s="84"/>
      <c r="AW28" s="144"/>
      <c r="AX28" s="85"/>
      <c r="AY28" s="85"/>
      <c r="AZ28" s="85"/>
      <c r="BA28" s="85"/>
      <c r="BB28" s="85"/>
      <c r="BC28" s="84"/>
      <c r="BD28" s="144"/>
      <c r="BE28" s="7"/>
      <c r="BF28" s="8"/>
      <c r="BG28" s="8"/>
      <c r="BH28" s="6">
        <f t="shared" si="21"/>
        <v>0</v>
      </c>
      <c r="BI28" s="6">
        <f t="shared" si="22"/>
        <v>0</v>
      </c>
      <c r="BJ28" s="6">
        <f t="shared" si="23"/>
        <v>0</v>
      </c>
      <c r="BK28" s="6">
        <f t="shared" si="2"/>
        <v>0</v>
      </c>
      <c r="BL28" s="6">
        <f t="shared" si="3"/>
        <v>0</v>
      </c>
      <c r="BN28" s="26">
        <f t="shared" si="24"/>
        <v>0</v>
      </c>
      <c r="BO28" s="26">
        <f t="shared" si="25"/>
        <v>0</v>
      </c>
      <c r="BP28" s="26">
        <f t="shared" si="26"/>
        <v>0</v>
      </c>
      <c r="BQ28" s="26">
        <f t="shared" si="27"/>
        <v>0</v>
      </c>
      <c r="BR28" s="26">
        <f t="shared" si="28"/>
        <v>0</v>
      </c>
      <c r="BS28" s="26">
        <f t="shared" si="29"/>
        <v>0</v>
      </c>
    </row>
    <row r="29" spans="1:71" ht="12.75" customHeight="1">
      <c r="A29" s="1"/>
      <c r="B29" s="2"/>
      <c r="C29" s="3"/>
      <c r="D29" s="4"/>
      <c r="E29" s="5">
        <f t="shared" si="4"/>
      </c>
      <c r="F29" s="5">
        <f t="shared" si="1"/>
      </c>
      <c r="G29" s="131"/>
      <c r="H29" s="6">
        <f>IF(OR(C29=0,D29=0),"",VLOOKUP(C29,data!$J$54:$S$54,VLOOKUP(D29,data!$R$4:$S$12,2,FALSE)))</f>
      </c>
      <c r="I29" s="88">
        <f t="shared" si="5"/>
        <v>0</v>
      </c>
      <c r="J29" s="6">
        <f t="shared" si="6"/>
        <v>0</v>
      </c>
      <c r="K29" s="14" t="b">
        <f t="shared" si="7"/>
        <v>0</v>
      </c>
      <c r="L29" s="130">
        <f t="shared" si="8"/>
        <v>0</v>
      </c>
      <c r="M29" s="14" t="b">
        <f t="shared" si="9"/>
        <v>0</v>
      </c>
      <c r="N29" s="130">
        <f t="shared" si="10"/>
        <v>0</v>
      </c>
      <c r="O29" s="14" t="b">
        <f t="shared" si="11"/>
        <v>0</v>
      </c>
      <c r="P29" s="130">
        <f t="shared" si="12"/>
        <v>0</v>
      </c>
      <c r="Q29" s="14" t="b">
        <f t="shared" si="13"/>
        <v>0</v>
      </c>
      <c r="R29" s="130">
        <f t="shared" si="14"/>
        <v>0</v>
      </c>
      <c r="S29" s="14" t="b">
        <f t="shared" si="15"/>
        <v>0</v>
      </c>
      <c r="T29" s="130">
        <f t="shared" si="16"/>
        <v>0</v>
      </c>
      <c r="U29" s="14" t="b">
        <f t="shared" si="17"/>
        <v>0</v>
      </c>
      <c r="V29" s="130">
        <f t="shared" si="18"/>
        <v>0</v>
      </c>
      <c r="W29" s="14" t="b">
        <f t="shared" si="19"/>
        <v>0</v>
      </c>
      <c r="X29" s="130">
        <f t="shared" si="20"/>
        <v>0</v>
      </c>
      <c r="Y29" s="178">
        <f>IF(BE29="",1,VLOOKUP(BE29,data!$C$3:$D$10,2,FALSE))*(1+BF29)</f>
        <v>1</v>
      </c>
      <c r="Z29" s="85"/>
      <c r="AA29" s="84"/>
      <c r="AB29" s="144"/>
      <c r="AC29" s="85"/>
      <c r="AD29" s="85"/>
      <c r="AE29" s="85"/>
      <c r="AF29" s="85"/>
      <c r="AG29" s="85"/>
      <c r="AH29" s="84"/>
      <c r="AI29" s="144"/>
      <c r="AJ29" s="85"/>
      <c r="AK29" s="85"/>
      <c r="AL29" s="85"/>
      <c r="AM29" s="85"/>
      <c r="AN29" s="85"/>
      <c r="AO29" s="84"/>
      <c r="AP29" s="144"/>
      <c r="AQ29" s="85"/>
      <c r="AR29" s="85"/>
      <c r="AS29" s="85"/>
      <c r="AT29" s="85"/>
      <c r="AU29" s="85"/>
      <c r="AV29" s="84"/>
      <c r="AW29" s="144"/>
      <c r="AX29" s="85"/>
      <c r="AY29" s="85"/>
      <c r="AZ29" s="85"/>
      <c r="BA29" s="85"/>
      <c r="BB29" s="85"/>
      <c r="BC29" s="84"/>
      <c r="BD29" s="144"/>
      <c r="BE29" s="7"/>
      <c r="BF29" s="8"/>
      <c r="BG29" s="8"/>
      <c r="BH29" s="6">
        <f t="shared" si="21"/>
        <v>0</v>
      </c>
      <c r="BI29" s="6">
        <f t="shared" si="22"/>
        <v>0</v>
      </c>
      <c r="BJ29" s="6">
        <f t="shared" si="23"/>
        <v>0</v>
      </c>
      <c r="BK29" s="6">
        <f t="shared" si="2"/>
        <v>0</v>
      </c>
      <c r="BL29" s="6">
        <f t="shared" si="3"/>
        <v>0</v>
      </c>
      <c r="BN29" s="26">
        <f t="shared" si="24"/>
        <v>0</v>
      </c>
      <c r="BO29" s="26">
        <f t="shared" si="25"/>
        <v>0</v>
      </c>
      <c r="BP29" s="26">
        <f t="shared" si="26"/>
        <v>0</v>
      </c>
      <c r="BQ29" s="26">
        <f t="shared" si="27"/>
        <v>0</v>
      </c>
      <c r="BR29" s="26">
        <f t="shared" si="28"/>
        <v>0</v>
      </c>
      <c r="BS29" s="26">
        <f t="shared" si="29"/>
        <v>0</v>
      </c>
    </row>
    <row r="30" spans="1:71" ht="12.75" customHeight="1">
      <c r="A30" s="1"/>
      <c r="B30" s="2"/>
      <c r="C30" s="3"/>
      <c r="D30" s="4"/>
      <c r="E30" s="5">
        <f t="shared" si="4"/>
      </c>
      <c r="F30" s="5">
        <f t="shared" si="1"/>
      </c>
      <c r="G30" s="131"/>
      <c r="H30" s="6">
        <f>IF(OR(C30=0,D30=0),"",VLOOKUP(C30,data!$J$54:$S$54,VLOOKUP(D30,data!$R$4:$S$12,2,FALSE)))</f>
      </c>
      <c r="I30" s="88">
        <f t="shared" si="5"/>
        <v>0</v>
      </c>
      <c r="J30" s="6">
        <f t="shared" si="6"/>
        <v>0</v>
      </c>
      <c r="K30" s="14" t="b">
        <f t="shared" si="7"/>
        <v>0</v>
      </c>
      <c r="L30" s="130">
        <f t="shared" si="8"/>
        <v>0</v>
      </c>
      <c r="M30" s="14" t="b">
        <f t="shared" si="9"/>
        <v>0</v>
      </c>
      <c r="N30" s="130">
        <f t="shared" si="10"/>
        <v>0</v>
      </c>
      <c r="O30" s="14" t="b">
        <f t="shared" si="11"/>
        <v>0</v>
      </c>
      <c r="P30" s="130">
        <f t="shared" si="12"/>
        <v>0</v>
      </c>
      <c r="Q30" s="14" t="b">
        <f t="shared" si="13"/>
        <v>0</v>
      </c>
      <c r="R30" s="130">
        <f t="shared" si="14"/>
        <v>0</v>
      </c>
      <c r="S30" s="14" t="b">
        <f t="shared" si="15"/>
        <v>0</v>
      </c>
      <c r="T30" s="130">
        <f t="shared" si="16"/>
        <v>0</v>
      </c>
      <c r="U30" s="14" t="b">
        <f t="shared" si="17"/>
        <v>0</v>
      </c>
      <c r="V30" s="130">
        <f t="shared" si="18"/>
        <v>0</v>
      </c>
      <c r="W30" s="14" t="b">
        <f t="shared" si="19"/>
        <v>0</v>
      </c>
      <c r="X30" s="130">
        <f t="shared" si="20"/>
        <v>0</v>
      </c>
      <c r="Y30" s="178">
        <f>IF(BE30="",1,VLOOKUP(BE30,data!$C$3:$D$10,2,FALSE))*(1+BF30)</f>
        <v>1</v>
      </c>
      <c r="Z30" s="85"/>
      <c r="AA30" s="84"/>
      <c r="AB30" s="144"/>
      <c r="AC30" s="85"/>
      <c r="AD30" s="85"/>
      <c r="AE30" s="85"/>
      <c r="AF30" s="85"/>
      <c r="AG30" s="85"/>
      <c r="AH30" s="84"/>
      <c r="AI30" s="144"/>
      <c r="AJ30" s="85"/>
      <c r="AK30" s="85"/>
      <c r="AL30" s="85"/>
      <c r="AM30" s="85"/>
      <c r="AN30" s="85"/>
      <c r="AO30" s="84"/>
      <c r="AP30" s="144"/>
      <c r="AQ30" s="85"/>
      <c r="AR30" s="85"/>
      <c r="AS30" s="85"/>
      <c r="AT30" s="85"/>
      <c r="AU30" s="85"/>
      <c r="AV30" s="84"/>
      <c r="AW30" s="144"/>
      <c r="AX30" s="85"/>
      <c r="AY30" s="85"/>
      <c r="AZ30" s="85"/>
      <c r="BA30" s="85"/>
      <c r="BB30" s="85"/>
      <c r="BC30" s="84"/>
      <c r="BD30" s="144"/>
      <c r="BE30" s="7"/>
      <c r="BF30" s="8"/>
      <c r="BG30" s="8"/>
      <c r="BH30" s="6">
        <f t="shared" si="21"/>
        <v>0</v>
      </c>
      <c r="BI30" s="6">
        <f t="shared" si="22"/>
        <v>0</v>
      </c>
      <c r="BJ30" s="6">
        <f t="shared" si="23"/>
        <v>0</v>
      </c>
      <c r="BK30" s="6">
        <f t="shared" si="2"/>
        <v>0</v>
      </c>
      <c r="BL30" s="6">
        <f t="shared" si="3"/>
        <v>0</v>
      </c>
      <c r="BN30" s="26">
        <f t="shared" si="24"/>
        <v>0</v>
      </c>
      <c r="BO30" s="26">
        <f t="shared" si="25"/>
        <v>0</v>
      </c>
      <c r="BP30" s="26">
        <f t="shared" si="26"/>
        <v>0</v>
      </c>
      <c r="BQ30" s="26">
        <f t="shared" si="27"/>
        <v>0</v>
      </c>
      <c r="BR30" s="26">
        <f t="shared" si="28"/>
        <v>0</v>
      </c>
      <c r="BS30" s="26">
        <f t="shared" si="29"/>
        <v>0</v>
      </c>
    </row>
    <row r="31" spans="1:71" ht="12.75" customHeight="1">
      <c r="A31" s="1"/>
      <c r="B31" s="2"/>
      <c r="C31" s="3"/>
      <c r="D31" s="4"/>
      <c r="E31" s="5">
        <f t="shared" si="4"/>
      </c>
      <c r="F31" s="5">
        <f t="shared" si="1"/>
      </c>
      <c r="G31" s="131"/>
      <c r="H31" s="6">
        <f>IF(OR(C31=0,D31=0),"",VLOOKUP(C31,data!$J$54:$S$54,VLOOKUP(D31,data!$R$4:$S$12,2,FALSE)))</f>
      </c>
      <c r="I31" s="88">
        <f t="shared" si="5"/>
        <v>0</v>
      </c>
      <c r="J31" s="6">
        <f t="shared" si="6"/>
        <v>0</v>
      </c>
      <c r="K31" s="14" t="b">
        <f t="shared" si="7"/>
        <v>0</v>
      </c>
      <c r="L31" s="130">
        <f t="shared" si="8"/>
        <v>0</v>
      </c>
      <c r="M31" s="14" t="b">
        <f t="shared" si="9"/>
        <v>0</v>
      </c>
      <c r="N31" s="130">
        <f t="shared" si="10"/>
        <v>0</v>
      </c>
      <c r="O31" s="14" t="b">
        <f t="shared" si="11"/>
        <v>0</v>
      </c>
      <c r="P31" s="130">
        <f t="shared" si="12"/>
        <v>0</v>
      </c>
      <c r="Q31" s="14" t="b">
        <f t="shared" si="13"/>
        <v>0</v>
      </c>
      <c r="R31" s="130">
        <f t="shared" si="14"/>
        <v>0</v>
      </c>
      <c r="S31" s="14" t="b">
        <f t="shared" si="15"/>
        <v>0</v>
      </c>
      <c r="T31" s="130">
        <f t="shared" si="16"/>
        <v>0</v>
      </c>
      <c r="U31" s="14" t="b">
        <f t="shared" si="17"/>
        <v>0</v>
      </c>
      <c r="V31" s="130">
        <f t="shared" si="18"/>
        <v>0</v>
      </c>
      <c r="W31" s="14" t="b">
        <f t="shared" si="19"/>
        <v>0</v>
      </c>
      <c r="X31" s="130">
        <f t="shared" si="20"/>
        <v>0</v>
      </c>
      <c r="Y31" s="178">
        <f>IF(BE31="",1,VLOOKUP(BE31,data!$C$3:$D$10,2,FALSE))*(1+BF31)</f>
        <v>1</v>
      </c>
      <c r="Z31" s="85"/>
      <c r="AA31" s="84"/>
      <c r="AB31" s="144"/>
      <c r="AC31" s="85"/>
      <c r="AD31" s="85"/>
      <c r="AE31" s="85"/>
      <c r="AF31" s="85"/>
      <c r="AG31" s="85"/>
      <c r="AH31" s="84"/>
      <c r="AI31" s="144"/>
      <c r="AJ31" s="85"/>
      <c r="AK31" s="85"/>
      <c r="AL31" s="85"/>
      <c r="AM31" s="85"/>
      <c r="AN31" s="85"/>
      <c r="AO31" s="84"/>
      <c r="AP31" s="144"/>
      <c r="AQ31" s="85"/>
      <c r="AR31" s="85"/>
      <c r="AS31" s="85"/>
      <c r="AT31" s="85"/>
      <c r="AU31" s="85"/>
      <c r="AV31" s="84"/>
      <c r="AW31" s="144"/>
      <c r="AX31" s="85"/>
      <c r="AY31" s="85"/>
      <c r="AZ31" s="85"/>
      <c r="BA31" s="85"/>
      <c r="BB31" s="85"/>
      <c r="BC31" s="84"/>
      <c r="BD31" s="144"/>
      <c r="BE31" s="7"/>
      <c r="BF31" s="8"/>
      <c r="BG31" s="8"/>
      <c r="BH31" s="6">
        <f t="shared" si="21"/>
        <v>0</v>
      </c>
      <c r="BI31" s="6">
        <f t="shared" si="22"/>
        <v>0</v>
      </c>
      <c r="BJ31" s="6">
        <f t="shared" si="23"/>
        <v>0</v>
      </c>
      <c r="BK31" s="6">
        <f t="shared" si="2"/>
        <v>0</v>
      </c>
      <c r="BL31" s="6">
        <f t="shared" si="3"/>
        <v>0</v>
      </c>
      <c r="BN31" s="26">
        <f t="shared" si="24"/>
        <v>0</v>
      </c>
      <c r="BO31" s="26">
        <f t="shared" si="25"/>
        <v>0</v>
      </c>
      <c r="BP31" s="26">
        <f t="shared" si="26"/>
        <v>0</v>
      </c>
      <c r="BQ31" s="26">
        <f t="shared" si="27"/>
        <v>0</v>
      </c>
      <c r="BR31" s="26">
        <f t="shared" si="28"/>
        <v>0</v>
      </c>
      <c r="BS31" s="26">
        <f t="shared" si="29"/>
        <v>0</v>
      </c>
    </row>
    <row r="32" spans="1:71" ht="12.75" customHeight="1">
      <c r="A32" s="1"/>
      <c r="B32" s="2"/>
      <c r="C32" s="3"/>
      <c r="D32" s="4"/>
      <c r="E32" s="5">
        <f t="shared" si="4"/>
      </c>
      <c r="F32" s="5">
        <f t="shared" si="1"/>
      </c>
      <c r="G32" s="131"/>
      <c r="H32" s="6">
        <f>IF(OR(C32=0,D32=0),"",VLOOKUP(C32,data!$J$54:$S$54,VLOOKUP(D32,data!$R$4:$S$12,2,FALSE)))</f>
      </c>
      <c r="I32" s="88">
        <f t="shared" si="5"/>
        <v>0</v>
      </c>
      <c r="J32" s="6">
        <f t="shared" si="6"/>
        <v>0</v>
      </c>
      <c r="K32" s="14" t="b">
        <f t="shared" si="7"/>
        <v>0</v>
      </c>
      <c r="L32" s="130">
        <f t="shared" si="8"/>
        <v>0</v>
      </c>
      <c r="M32" s="14" t="b">
        <f t="shared" si="9"/>
        <v>0</v>
      </c>
      <c r="N32" s="130">
        <f t="shared" si="10"/>
        <v>0</v>
      </c>
      <c r="O32" s="14" t="b">
        <f t="shared" si="11"/>
        <v>0</v>
      </c>
      <c r="P32" s="130">
        <f t="shared" si="12"/>
        <v>0</v>
      </c>
      <c r="Q32" s="14" t="b">
        <f t="shared" si="13"/>
        <v>0</v>
      </c>
      <c r="R32" s="130">
        <f t="shared" si="14"/>
        <v>0</v>
      </c>
      <c r="S32" s="14" t="b">
        <f t="shared" si="15"/>
        <v>0</v>
      </c>
      <c r="T32" s="130">
        <f t="shared" si="16"/>
        <v>0</v>
      </c>
      <c r="U32" s="14" t="b">
        <f t="shared" si="17"/>
        <v>0</v>
      </c>
      <c r="V32" s="130">
        <f t="shared" si="18"/>
        <v>0</v>
      </c>
      <c r="W32" s="14" t="b">
        <f t="shared" si="19"/>
        <v>0</v>
      </c>
      <c r="X32" s="130">
        <f t="shared" si="20"/>
        <v>0</v>
      </c>
      <c r="Y32" s="178">
        <f>IF(BE32="",1,VLOOKUP(BE32,data!$C$3:$D$10,2,FALSE))*(1+BF32)</f>
        <v>1</v>
      </c>
      <c r="Z32" s="85"/>
      <c r="AA32" s="144"/>
      <c r="AB32" s="84"/>
      <c r="AC32" s="85"/>
      <c r="AD32" s="85"/>
      <c r="AE32" s="85"/>
      <c r="AF32" s="85"/>
      <c r="AG32" s="85"/>
      <c r="AH32" s="144"/>
      <c r="AI32" s="84"/>
      <c r="AJ32" s="85"/>
      <c r="AK32" s="85"/>
      <c r="AL32" s="85"/>
      <c r="AM32" s="85"/>
      <c r="AN32" s="85"/>
      <c r="AO32" s="144"/>
      <c r="AP32" s="84"/>
      <c r="AQ32" s="85"/>
      <c r="AR32" s="85"/>
      <c r="AS32" s="85"/>
      <c r="AT32" s="85"/>
      <c r="AU32" s="85"/>
      <c r="AV32" s="144"/>
      <c r="AW32" s="84"/>
      <c r="AX32" s="85"/>
      <c r="AY32" s="85"/>
      <c r="AZ32" s="85"/>
      <c r="BA32" s="85"/>
      <c r="BB32" s="85"/>
      <c r="BC32" s="144"/>
      <c r="BD32" s="84"/>
      <c r="BE32" s="7"/>
      <c r="BF32" s="8"/>
      <c r="BG32" s="8"/>
      <c r="BH32" s="6">
        <f t="shared" si="21"/>
        <v>0</v>
      </c>
      <c r="BI32" s="6">
        <f t="shared" si="22"/>
        <v>0</v>
      </c>
      <c r="BJ32" s="6">
        <f t="shared" si="23"/>
        <v>0</v>
      </c>
      <c r="BK32" s="6">
        <f t="shared" si="2"/>
        <v>0</v>
      </c>
      <c r="BL32" s="6">
        <f t="shared" si="3"/>
        <v>0</v>
      </c>
      <c r="BN32" s="26">
        <f t="shared" si="24"/>
        <v>0</v>
      </c>
      <c r="BO32" s="26">
        <f t="shared" si="25"/>
        <v>0</v>
      </c>
      <c r="BP32" s="26">
        <f t="shared" si="26"/>
        <v>0</v>
      </c>
      <c r="BQ32" s="26">
        <f t="shared" si="27"/>
        <v>0</v>
      </c>
      <c r="BR32" s="26">
        <f t="shared" si="28"/>
        <v>0</v>
      </c>
      <c r="BS32" s="26">
        <f t="shared" si="29"/>
        <v>0</v>
      </c>
    </row>
    <row r="33" spans="1:71" ht="12.75" customHeight="1">
      <c r="A33" s="1"/>
      <c r="B33" s="2"/>
      <c r="C33" s="3"/>
      <c r="D33" s="4"/>
      <c r="E33" s="5">
        <f t="shared" si="4"/>
      </c>
      <c r="F33" s="5">
        <f t="shared" si="1"/>
      </c>
      <c r="G33" s="131"/>
      <c r="H33" s="6">
        <f>IF(OR(C33=0,D33=0),"",VLOOKUP(C33,data!$J$54:$S$54,VLOOKUP(D33,data!$R$4:$S$12,2,FALSE)))</f>
      </c>
      <c r="I33" s="88">
        <f t="shared" si="5"/>
        <v>0</v>
      </c>
      <c r="J33" s="6">
        <f t="shared" si="6"/>
        <v>0</v>
      </c>
      <c r="K33" s="14" t="b">
        <f t="shared" si="7"/>
        <v>0</v>
      </c>
      <c r="L33" s="130">
        <f t="shared" si="8"/>
        <v>0</v>
      </c>
      <c r="M33" s="14" t="b">
        <f t="shared" si="9"/>
        <v>0</v>
      </c>
      <c r="N33" s="130">
        <f t="shared" si="10"/>
        <v>0</v>
      </c>
      <c r="O33" s="14" t="b">
        <f t="shared" si="11"/>
        <v>0</v>
      </c>
      <c r="P33" s="130">
        <f t="shared" si="12"/>
        <v>0</v>
      </c>
      <c r="Q33" s="14" t="b">
        <f t="shared" si="13"/>
        <v>0</v>
      </c>
      <c r="R33" s="130">
        <f t="shared" si="14"/>
        <v>0</v>
      </c>
      <c r="S33" s="14" t="b">
        <f t="shared" si="15"/>
        <v>0</v>
      </c>
      <c r="T33" s="130">
        <f t="shared" si="16"/>
        <v>0</v>
      </c>
      <c r="U33" s="14" t="b">
        <f t="shared" si="17"/>
        <v>0</v>
      </c>
      <c r="V33" s="130">
        <f t="shared" si="18"/>
        <v>0</v>
      </c>
      <c r="W33" s="14" t="b">
        <f t="shared" si="19"/>
        <v>0</v>
      </c>
      <c r="X33" s="130">
        <f t="shared" si="20"/>
        <v>0</v>
      </c>
      <c r="Y33" s="178">
        <f>IF(BE33="",1,VLOOKUP(BE33,data!$C$3:$D$10,2,FALSE))*(1+BF33)</f>
        <v>1</v>
      </c>
      <c r="Z33" s="85"/>
      <c r="AA33" s="144"/>
      <c r="AB33" s="84"/>
      <c r="AC33" s="85"/>
      <c r="AD33" s="85"/>
      <c r="AE33" s="85"/>
      <c r="AF33" s="85"/>
      <c r="AG33" s="85"/>
      <c r="AH33" s="144"/>
      <c r="AI33" s="84"/>
      <c r="AJ33" s="85"/>
      <c r="AK33" s="85"/>
      <c r="AL33" s="85"/>
      <c r="AM33" s="85"/>
      <c r="AN33" s="85"/>
      <c r="AO33" s="144"/>
      <c r="AP33" s="84"/>
      <c r="AQ33" s="85"/>
      <c r="AR33" s="85"/>
      <c r="AS33" s="85"/>
      <c r="AT33" s="85"/>
      <c r="AU33" s="85"/>
      <c r="AV33" s="144"/>
      <c r="AW33" s="84"/>
      <c r="AX33" s="85"/>
      <c r="AY33" s="85"/>
      <c r="AZ33" s="85"/>
      <c r="BA33" s="85"/>
      <c r="BB33" s="85"/>
      <c r="BC33" s="144"/>
      <c r="BD33" s="84"/>
      <c r="BE33" s="7"/>
      <c r="BF33" s="8"/>
      <c r="BG33" s="8"/>
      <c r="BH33" s="6">
        <f t="shared" si="21"/>
        <v>0</v>
      </c>
      <c r="BI33" s="6">
        <f t="shared" si="22"/>
        <v>0</v>
      </c>
      <c r="BJ33" s="6">
        <f t="shared" si="23"/>
        <v>0</v>
      </c>
      <c r="BK33" s="6">
        <f t="shared" si="2"/>
        <v>0</v>
      </c>
      <c r="BL33" s="6">
        <f t="shared" si="3"/>
        <v>0</v>
      </c>
      <c r="BN33" s="26">
        <f t="shared" si="24"/>
        <v>0</v>
      </c>
      <c r="BO33" s="26">
        <f t="shared" si="25"/>
        <v>0</v>
      </c>
      <c r="BP33" s="26">
        <f t="shared" si="26"/>
        <v>0</v>
      </c>
      <c r="BQ33" s="26">
        <f t="shared" si="27"/>
        <v>0</v>
      </c>
      <c r="BR33" s="26">
        <f t="shared" si="28"/>
        <v>0</v>
      </c>
      <c r="BS33" s="26">
        <f t="shared" si="29"/>
        <v>0</v>
      </c>
    </row>
    <row r="34" spans="1:71" ht="12.75" customHeight="1">
      <c r="A34" s="1"/>
      <c r="B34" s="2"/>
      <c r="C34" s="3"/>
      <c r="D34" s="4"/>
      <c r="E34" s="5">
        <f t="shared" si="4"/>
      </c>
      <c r="F34" s="5">
        <f t="shared" si="1"/>
      </c>
      <c r="G34" s="131"/>
      <c r="H34" s="6">
        <f>IF(OR(C34=0,D34=0),"",VLOOKUP(C34,data!$J$54:$S$54,VLOOKUP(D34,data!$R$4:$S$12,2,FALSE)))</f>
      </c>
      <c r="I34" s="88">
        <f t="shared" si="5"/>
        <v>0</v>
      </c>
      <c r="J34" s="6">
        <f t="shared" si="6"/>
        <v>0</v>
      </c>
      <c r="K34" s="14" t="b">
        <f t="shared" si="7"/>
        <v>0</v>
      </c>
      <c r="L34" s="130">
        <f t="shared" si="8"/>
        <v>0</v>
      </c>
      <c r="M34" s="14" t="b">
        <f t="shared" si="9"/>
        <v>0</v>
      </c>
      <c r="N34" s="130">
        <f t="shared" si="10"/>
        <v>0</v>
      </c>
      <c r="O34" s="14" t="b">
        <f t="shared" si="11"/>
        <v>0</v>
      </c>
      <c r="P34" s="130">
        <f t="shared" si="12"/>
        <v>0</v>
      </c>
      <c r="Q34" s="14" t="b">
        <f t="shared" si="13"/>
        <v>0</v>
      </c>
      <c r="R34" s="130">
        <f t="shared" si="14"/>
        <v>0</v>
      </c>
      <c r="S34" s="14" t="b">
        <f t="shared" si="15"/>
        <v>0</v>
      </c>
      <c r="T34" s="130">
        <f t="shared" si="16"/>
        <v>0</v>
      </c>
      <c r="U34" s="14" t="b">
        <f t="shared" si="17"/>
        <v>0</v>
      </c>
      <c r="V34" s="130">
        <f t="shared" si="18"/>
        <v>0</v>
      </c>
      <c r="W34" s="14" t="b">
        <f t="shared" si="19"/>
        <v>0</v>
      </c>
      <c r="X34" s="130">
        <f t="shared" si="20"/>
        <v>0</v>
      </c>
      <c r="Y34" s="178">
        <f>IF(BE34="",1,VLOOKUP(BE34,data!$C$3:$D$10,2,FALSE))*(1+BF34)</f>
        <v>1</v>
      </c>
      <c r="Z34" s="85"/>
      <c r="AA34" s="144"/>
      <c r="AB34" s="84"/>
      <c r="AC34" s="85"/>
      <c r="AD34" s="85"/>
      <c r="AE34" s="85"/>
      <c r="AF34" s="85"/>
      <c r="AG34" s="85"/>
      <c r="AH34" s="144"/>
      <c r="AI34" s="84"/>
      <c r="AJ34" s="85"/>
      <c r="AK34" s="85"/>
      <c r="AL34" s="85"/>
      <c r="AM34" s="85"/>
      <c r="AN34" s="85"/>
      <c r="AO34" s="144"/>
      <c r="AP34" s="84"/>
      <c r="AQ34" s="85"/>
      <c r="AR34" s="85"/>
      <c r="AS34" s="85"/>
      <c r="AT34" s="85"/>
      <c r="AU34" s="85"/>
      <c r="AV34" s="144"/>
      <c r="AW34" s="84"/>
      <c r="AX34" s="85"/>
      <c r="AY34" s="85"/>
      <c r="AZ34" s="85"/>
      <c r="BA34" s="85"/>
      <c r="BB34" s="85"/>
      <c r="BC34" s="144"/>
      <c r="BD34" s="84"/>
      <c r="BE34" s="7"/>
      <c r="BF34" s="8"/>
      <c r="BG34" s="8"/>
      <c r="BH34" s="6">
        <f t="shared" si="21"/>
        <v>0</v>
      </c>
      <c r="BI34" s="6">
        <f t="shared" si="22"/>
        <v>0</v>
      </c>
      <c r="BJ34" s="6">
        <f t="shared" si="23"/>
        <v>0</v>
      </c>
      <c r="BK34" s="6">
        <f t="shared" si="2"/>
        <v>0</v>
      </c>
      <c r="BL34" s="6">
        <f t="shared" si="3"/>
        <v>0</v>
      </c>
      <c r="BN34" s="26">
        <f t="shared" si="24"/>
        <v>0</v>
      </c>
      <c r="BO34" s="26">
        <f t="shared" si="25"/>
        <v>0</v>
      </c>
      <c r="BP34" s="26">
        <f t="shared" si="26"/>
        <v>0</v>
      </c>
      <c r="BQ34" s="26">
        <f t="shared" si="27"/>
        <v>0</v>
      </c>
      <c r="BR34" s="26">
        <f t="shared" si="28"/>
        <v>0</v>
      </c>
      <c r="BS34" s="26">
        <f t="shared" si="29"/>
        <v>0</v>
      </c>
    </row>
    <row r="35" spans="1:71" ht="12.75" customHeight="1">
      <c r="A35" s="1"/>
      <c r="B35" s="2"/>
      <c r="C35" s="3"/>
      <c r="D35" s="4"/>
      <c r="E35" s="5">
        <f t="shared" si="4"/>
      </c>
      <c r="F35" s="5">
        <f t="shared" si="1"/>
      </c>
      <c r="G35" s="131"/>
      <c r="H35" s="6">
        <f>IF(OR(C35=0,D35=0),"",VLOOKUP(C35,data!$J$54:$S$54,VLOOKUP(D35,data!$R$4:$S$12,2,FALSE)))</f>
      </c>
      <c r="I35" s="88">
        <f t="shared" si="5"/>
        <v>0</v>
      </c>
      <c r="J35" s="6">
        <f t="shared" si="6"/>
        <v>0</v>
      </c>
      <c r="K35" s="14" t="b">
        <f t="shared" si="7"/>
        <v>0</v>
      </c>
      <c r="L35" s="130">
        <f t="shared" si="8"/>
        <v>0</v>
      </c>
      <c r="M35" s="14" t="b">
        <f t="shared" si="9"/>
        <v>0</v>
      </c>
      <c r="N35" s="130">
        <f t="shared" si="10"/>
        <v>0</v>
      </c>
      <c r="O35" s="14" t="b">
        <f t="shared" si="11"/>
        <v>0</v>
      </c>
      <c r="P35" s="130">
        <f t="shared" si="12"/>
        <v>0</v>
      </c>
      <c r="Q35" s="14" t="b">
        <f t="shared" si="13"/>
        <v>0</v>
      </c>
      <c r="R35" s="130">
        <f t="shared" si="14"/>
        <v>0</v>
      </c>
      <c r="S35" s="14" t="b">
        <f t="shared" si="15"/>
        <v>0</v>
      </c>
      <c r="T35" s="130">
        <f t="shared" si="16"/>
        <v>0</v>
      </c>
      <c r="U35" s="14" t="b">
        <f t="shared" si="17"/>
        <v>0</v>
      </c>
      <c r="V35" s="130">
        <f t="shared" si="18"/>
        <v>0</v>
      </c>
      <c r="W35" s="14" t="b">
        <f t="shared" si="19"/>
        <v>0</v>
      </c>
      <c r="X35" s="130">
        <f t="shared" si="20"/>
        <v>0</v>
      </c>
      <c r="Y35" s="178">
        <f>IF(BE35="",1,VLOOKUP(BE35,data!$C$3:$D$10,2,FALSE))*(1+BF35)</f>
        <v>1</v>
      </c>
      <c r="Z35" s="85"/>
      <c r="AA35" s="144"/>
      <c r="AB35" s="84"/>
      <c r="AC35" s="85"/>
      <c r="AD35" s="85"/>
      <c r="AE35" s="85"/>
      <c r="AF35" s="85"/>
      <c r="AG35" s="85"/>
      <c r="AH35" s="144"/>
      <c r="AI35" s="84"/>
      <c r="AJ35" s="85"/>
      <c r="AK35" s="85"/>
      <c r="AL35" s="85"/>
      <c r="AM35" s="85"/>
      <c r="AN35" s="85"/>
      <c r="AO35" s="144"/>
      <c r="AP35" s="84"/>
      <c r="AQ35" s="85"/>
      <c r="AR35" s="85"/>
      <c r="AS35" s="85"/>
      <c r="AT35" s="85"/>
      <c r="AU35" s="85"/>
      <c r="AV35" s="144"/>
      <c r="AW35" s="84"/>
      <c r="AX35" s="85"/>
      <c r="AY35" s="85"/>
      <c r="AZ35" s="85"/>
      <c r="BA35" s="85"/>
      <c r="BB35" s="85"/>
      <c r="BC35" s="144"/>
      <c r="BD35" s="84"/>
      <c r="BE35" s="7"/>
      <c r="BF35" s="8"/>
      <c r="BG35" s="8"/>
      <c r="BH35" s="6">
        <f t="shared" si="21"/>
        <v>0</v>
      </c>
      <c r="BI35" s="6">
        <f t="shared" si="22"/>
        <v>0</v>
      </c>
      <c r="BJ35" s="6">
        <f t="shared" si="23"/>
        <v>0</v>
      </c>
      <c r="BK35" s="6">
        <f t="shared" si="2"/>
        <v>0</v>
      </c>
      <c r="BL35" s="6">
        <f t="shared" si="3"/>
        <v>0</v>
      </c>
      <c r="BN35" s="26">
        <f t="shared" si="24"/>
        <v>0</v>
      </c>
      <c r="BO35" s="26">
        <f t="shared" si="25"/>
        <v>0</v>
      </c>
      <c r="BP35" s="26">
        <f t="shared" si="26"/>
        <v>0</v>
      </c>
      <c r="BQ35" s="26">
        <f t="shared" si="27"/>
        <v>0</v>
      </c>
      <c r="BR35" s="26">
        <f t="shared" si="28"/>
        <v>0</v>
      </c>
      <c r="BS35" s="26">
        <f t="shared" si="29"/>
        <v>0</v>
      </c>
    </row>
    <row r="36" spans="1:71" ht="12.75" customHeight="1">
      <c r="A36" s="1"/>
      <c r="B36" s="2"/>
      <c r="C36" s="3"/>
      <c r="D36" s="4"/>
      <c r="E36" s="5">
        <f t="shared" si="4"/>
      </c>
      <c r="F36" s="5">
        <f t="shared" si="1"/>
      </c>
      <c r="G36" s="131"/>
      <c r="H36" s="6">
        <f>IF(OR(C36=0,D36=0),"",VLOOKUP(C36,data!$J$54:$S$54,VLOOKUP(D36,data!$R$4:$S$12,2,FALSE)))</f>
      </c>
      <c r="I36" s="88">
        <f t="shared" si="5"/>
        <v>0</v>
      </c>
      <c r="J36" s="6">
        <f t="shared" si="6"/>
        <v>0</v>
      </c>
      <c r="K36" s="14" t="b">
        <f t="shared" si="7"/>
        <v>0</v>
      </c>
      <c r="L36" s="130">
        <f t="shared" si="8"/>
        <v>0</v>
      </c>
      <c r="M36" s="14" t="b">
        <f t="shared" si="9"/>
        <v>0</v>
      </c>
      <c r="N36" s="130">
        <f t="shared" si="10"/>
        <v>0</v>
      </c>
      <c r="O36" s="14" t="b">
        <f t="shared" si="11"/>
        <v>0</v>
      </c>
      <c r="P36" s="130">
        <f t="shared" si="12"/>
        <v>0</v>
      </c>
      <c r="Q36" s="14" t="b">
        <f t="shared" si="13"/>
        <v>0</v>
      </c>
      <c r="R36" s="130">
        <f t="shared" si="14"/>
        <v>0</v>
      </c>
      <c r="S36" s="14" t="b">
        <f t="shared" si="15"/>
        <v>0</v>
      </c>
      <c r="T36" s="130">
        <f t="shared" si="16"/>
        <v>0</v>
      </c>
      <c r="U36" s="14" t="b">
        <f t="shared" si="17"/>
        <v>0</v>
      </c>
      <c r="V36" s="130">
        <f t="shared" si="18"/>
        <v>0</v>
      </c>
      <c r="W36" s="14" t="b">
        <f t="shared" si="19"/>
        <v>0</v>
      </c>
      <c r="X36" s="130">
        <f t="shared" si="20"/>
        <v>0</v>
      </c>
      <c r="Y36" s="178">
        <f>IF(BE36="",1,VLOOKUP(BE36,data!$C$3:$D$10,2,FALSE))*(1+BF36)</f>
        <v>1</v>
      </c>
      <c r="Z36" s="85"/>
      <c r="AA36" s="144"/>
      <c r="AB36" s="84"/>
      <c r="AC36" s="85"/>
      <c r="AD36" s="85"/>
      <c r="AE36" s="85"/>
      <c r="AF36" s="85"/>
      <c r="AG36" s="85"/>
      <c r="AH36" s="144"/>
      <c r="AI36" s="84"/>
      <c r="AJ36" s="85"/>
      <c r="AK36" s="85"/>
      <c r="AL36" s="85"/>
      <c r="AM36" s="85"/>
      <c r="AN36" s="85"/>
      <c r="AO36" s="144"/>
      <c r="AP36" s="84"/>
      <c r="AQ36" s="85"/>
      <c r="AR36" s="85"/>
      <c r="AS36" s="85"/>
      <c r="AT36" s="85"/>
      <c r="AU36" s="85"/>
      <c r="AV36" s="144"/>
      <c r="AW36" s="84"/>
      <c r="AX36" s="85"/>
      <c r="AY36" s="85"/>
      <c r="AZ36" s="85"/>
      <c r="BA36" s="85"/>
      <c r="BB36" s="85"/>
      <c r="BC36" s="144"/>
      <c r="BD36" s="84"/>
      <c r="BE36" s="7"/>
      <c r="BF36" s="8"/>
      <c r="BG36" s="8"/>
      <c r="BH36" s="6">
        <f t="shared" si="21"/>
        <v>0</v>
      </c>
      <c r="BI36" s="6">
        <f t="shared" si="22"/>
        <v>0</v>
      </c>
      <c r="BJ36" s="6">
        <f t="shared" si="23"/>
        <v>0</v>
      </c>
      <c r="BK36" s="6">
        <f t="shared" si="2"/>
        <v>0</v>
      </c>
      <c r="BL36" s="6">
        <f t="shared" si="3"/>
        <v>0</v>
      </c>
      <c r="BN36" s="26">
        <f t="shared" si="24"/>
        <v>0</v>
      </c>
      <c r="BO36" s="26">
        <f t="shared" si="25"/>
        <v>0</v>
      </c>
      <c r="BP36" s="26">
        <f t="shared" si="26"/>
        <v>0</v>
      </c>
      <c r="BQ36" s="26">
        <f t="shared" si="27"/>
        <v>0</v>
      </c>
      <c r="BR36" s="26">
        <f t="shared" si="28"/>
        <v>0</v>
      </c>
      <c r="BS36" s="26">
        <f t="shared" si="29"/>
        <v>0</v>
      </c>
    </row>
    <row r="37" spans="1:71" ht="12.75" customHeight="1">
      <c r="A37" s="1"/>
      <c r="B37" s="2"/>
      <c r="C37" s="3"/>
      <c r="D37" s="4"/>
      <c r="E37" s="5">
        <f t="shared" si="4"/>
      </c>
      <c r="F37" s="5">
        <f t="shared" si="1"/>
      </c>
      <c r="G37" s="131"/>
      <c r="H37" s="6">
        <f>IF(OR(C37=0,D37=0),"",VLOOKUP(C37,data!$J$54:$S$54,VLOOKUP(D37,data!$R$4:$S$12,2,FALSE)))</f>
      </c>
      <c r="I37" s="88">
        <f t="shared" si="5"/>
        <v>0</v>
      </c>
      <c r="J37" s="6">
        <f t="shared" si="6"/>
        <v>0</v>
      </c>
      <c r="K37" s="14" t="b">
        <f t="shared" si="7"/>
        <v>0</v>
      </c>
      <c r="L37" s="130">
        <f t="shared" si="8"/>
        <v>0</v>
      </c>
      <c r="M37" s="14" t="b">
        <f t="shared" si="9"/>
        <v>0</v>
      </c>
      <c r="N37" s="130">
        <f t="shared" si="10"/>
        <v>0</v>
      </c>
      <c r="O37" s="14" t="b">
        <f t="shared" si="11"/>
        <v>0</v>
      </c>
      <c r="P37" s="130">
        <f t="shared" si="12"/>
        <v>0</v>
      </c>
      <c r="Q37" s="14" t="b">
        <f t="shared" si="13"/>
        <v>0</v>
      </c>
      <c r="R37" s="130">
        <f t="shared" si="14"/>
        <v>0</v>
      </c>
      <c r="S37" s="14" t="b">
        <f t="shared" si="15"/>
        <v>0</v>
      </c>
      <c r="T37" s="130">
        <f t="shared" si="16"/>
        <v>0</v>
      </c>
      <c r="U37" s="14" t="b">
        <f t="shared" si="17"/>
        <v>0</v>
      </c>
      <c r="V37" s="130">
        <f t="shared" si="18"/>
        <v>0</v>
      </c>
      <c r="W37" s="14" t="b">
        <f t="shared" si="19"/>
        <v>0</v>
      </c>
      <c r="X37" s="130">
        <f t="shared" si="20"/>
        <v>0</v>
      </c>
      <c r="Y37" s="178">
        <f>IF(BE37="",1,VLOOKUP(BE37,data!$C$3:$D$10,2,FALSE))*(1+BF37)</f>
        <v>1</v>
      </c>
      <c r="Z37" s="85"/>
      <c r="AA37" s="144"/>
      <c r="AB37" s="84"/>
      <c r="AC37" s="85"/>
      <c r="AD37" s="85"/>
      <c r="AE37" s="85"/>
      <c r="AF37" s="85"/>
      <c r="AG37" s="85"/>
      <c r="AH37" s="144"/>
      <c r="AI37" s="84"/>
      <c r="AJ37" s="85"/>
      <c r="AK37" s="85"/>
      <c r="AL37" s="85"/>
      <c r="AM37" s="85"/>
      <c r="AN37" s="85"/>
      <c r="AO37" s="144"/>
      <c r="AP37" s="84"/>
      <c r="AQ37" s="85"/>
      <c r="AR37" s="85"/>
      <c r="AS37" s="85"/>
      <c r="AT37" s="85"/>
      <c r="AU37" s="85"/>
      <c r="AV37" s="144"/>
      <c r="AW37" s="84"/>
      <c r="AX37" s="85"/>
      <c r="AY37" s="85"/>
      <c r="AZ37" s="85"/>
      <c r="BA37" s="85"/>
      <c r="BB37" s="85"/>
      <c r="BC37" s="144"/>
      <c r="BD37" s="84"/>
      <c r="BE37" s="7"/>
      <c r="BF37" s="8"/>
      <c r="BG37" s="8"/>
      <c r="BH37" s="6">
        <f t="shared" si="21"/>
        <v>0</v>
      </c>
      <c r="BI37" s="6">
        <f t="shared" si="22"/>
        <v>0</v>
      </c>
      <c r="BJ37" s="6">
        <f t="shared" si="23"/>
        <v>0</v>
      </c>
      <c r="BK37" s="6">
        <f t="shared" si="2"/>
        <v>0</v>
      </c>
      <c r="BL37" s="6">
        <f t="shared" si="3"/>
        <v>0</v>
      </c>
      <c r="BN37" s="26">
        <f t="shared" si="24"/>
        <v>0</v>
      </c>
      <c r="BO37" s="26">
        <f t="shared" si="25"/>
        <v>0</v>
      </c>
      <c r="BP37" s="26">
        <f t="shared" si="26"/>
        <v>0</v>
      </c>
      <c r="BQ37" s="26">
        <f t="shared" si="27"/>
        <v>0</v>
      </c>
      <c r="BR37" s="26">
        <f t="shared" si="28"/>
        <v>0</v>
      </c>
      <c r="BS37" s="26">
        <f t="shared" si="29"/>
        <v>0</v>
      </c>
    </row>
    <row r="38" spans="1:71" ht="12.75" customHeight="1">
      <c r="A38" s="1"/>
      <c r="B38" s="2"/>
      <c r="C38" s="3"/>
      <c r="D38" s="4"/>
      <c r="E38" s="5">
        <f t="shared" si="4"/>
      </c>
      <c r="F38" s="5">
        <f t="shared" si="1"/>
      </c>
      <c r="G38" s="131"/>
      <c r="H38" s="6">
        <f>IF(OR(C38=0,D38=0),"",VLOOKUP(C38,data!$J$54:$S$54,VLOOKUP(D38,data!$R$4:$S$12,2,FALSE)))</f>
      </c>
      <c r="I38" s="88">
        <f t="shared" si="5"/>
        <v>0</v>
      </c>
      <c r="J38" s="6">
        <f t="shared" si="6"/>
        <v>0</v>
      </c>
      <c r="K38" s="14" t="b">
        <f t="shared" si="7"/>
        <v>0</v>
      </c>
      <c r="L38" s="130">
        <f t="shared" si="8"/>
        <v>0</v>
      </c>
      <c r="M38" s="14" t="b">
        <f t="shared" si="9"/>
        <v>0</v>
      </c>
      <c r="N38" s="130">
        <f t="shared" si="10"/>
        <v>0</v>
      </c>
      <c r="O38" s="14" t="b">
        <f t="shared" si="11"/>
        <v>0</v>
      </c>
      <c r="P38" s="130">
        <f t="shared" si="12"/>
        <v>0</v>
      </c>
      <c r="Q38" s="14" t="b">
        <f t="shared" si="13"/>
        <v>0</v>
      </c>
      <c r="R38" s="130">
        <f t="shared" si="14"/>
        <v>0</v>
      </c>
      <c r="S38" s="14" t="b">
        <f t="shared" si="15"/>
        <v>0</v>
      </c>
      <c r="T38" s="130">
        <f t="shared" si="16"/>
        <v>0</v>
      </c>
      <c r="U38" s="14" t="b">
        <f t="shared" si="17"/>
        <v>0</v>
      </c>
      <c r="V38" s="130">
        <f t="shared" si="18"/>
        <v>0</v>
      </c>
      <c r="W38" s="14" t="b">
        <f t="shared" si="19"/>
        <v>0</v>
      </c>
      <c r="X38" s="130">
        <f t="shared" si="20"/>
        <v>0</v>
      </c>
      <c r="Y38" s="178">
        <f>IF(BE38="",1,VLOOKUP(BE38,data!$C$3:$D$10,2,FALSE))*(1+BF38)</f>
        <v>1</v>
      </c>
      <c r="Z38" s="85"/>
      <c r="AA38" s="144"/>
      <c r="AB38" s="84"/>
      <c r="AC38" s="85"/>
      <c r="AD38" s="85"/>
      <c r="AE38" s="85"/>
      <c r="AF38" s="85"/>
      <c r="AG38" s="85"/>
      <c r="AH38" s="144"/>
      <c r="AI38" s="84"/>
      <c r="AJ38" s="85"/>
      <c r="AK38" s="85"/>
      <c r="AL38" s="85"/>
      <c r="AM38" s="85"/>
      <c r="AN38" s="85"/>
      <c r="AO38" s="144"/>
      <c r="AP38" s="84"/>
      <c r="AQ38" s="85"/>
      <c r="AR38" s="85"/>
      <c r="AS38" s="85"/>
      <c r="AT38" s="85"/>
      <c r="AU38" s="85"/>
      <c r="AV38" s="144"/>
      <c r="AW38" s="84"/>
      <c r="AX38" s="85"/>
      <c r="AY38" s="85"/>
      <c r="AZ38" s="85"/>
      <c r="BA38" s="85"/>
      <c r="BB38" s="85"/>
      <c r="BC38" s="144"/>
      <c r="BD38" s="84"/>
      <c r="BE38" s="7"/>
      <c r="BF38" s="8"/>
      <c r="BG38" s="8"/>
      <c r="BH38" s="6">
        <f t="shared" si="21"/>
        <v>0</v>
      </c>
      <c r="BI38" s="6">
        <f t="shared" si="22"/>
        <v>0</v>
      </c>
      <c r="BJ38" s="6">
        <f t="shared" si="23"/>
        <v>0</v>
      </c>
      <c r="BK38" s="6">
        <f t="shared" si="2"/>
        <v>0</v>
      </c>
      <c r="BL38" s="6">
        <f t="shared" si="3"/>
        <v>0</v>
      </c>
      <c r="BN38" s="26">
        <f t="shared" si="24"/>
        <v>0</v>
      </c>
      <c r="BO38" s="26">
        <f t="shared" si="25"/>
        <v>0</v>
      </c>
      <c r="BP38" s="26">
        <f t="shared" si="26"/>
        <v>0</v>
      </c>
      <c r="BQ38" s="26">
        <f t="shared" si="27"/>
        <v>0</v>
      </c>
      <c r="BR38" s="26">
        <f t="shared" si="28"/>
        <v>0</v>
      </c>
      <c r="BS38" s="26">
        <f t="shared" si="29"/>
        <v>0</v>
      </c>
    </row>
    <row r="39" spans="1:71" ht="12.75" customHeight="1">
      <c r="A39" s="1"/>
      <c r="B39" s="2"/>
      <c r="C39" s="3"/>
      <c r="D39" s="4"/>
      <c r="E39" s="5">
        <f t="shared" si="4"/>
      </c>
      <c r="F39" s="5">
        <f t="shared" si="1"/>
      </c>
      <c r="G39" s="131"/>
      <c r="H39" s="6">
        <f>IF(OR(C39=0,D39=0),"",VLOOKUP(C39,data!$J$54:$S$54,VLOOKUP(D39,data!$R$4:$S$12,2,FALSE)))</f>
      </c>
      <c r="I39" s="88">
        <f t="shared" si="5"/>
        <v>0</v>
      </c>
      <c r="J39" s="6">
        <f t="shared" si="6"/>
        <v>0</v>
      </c>
      <c r="K39" s="14" t="b">
        <f t="shared" si="7"/>
        <v>0</v>
      </c>
      <c r="L39" s="130">
        <f t="shared" si="8"/>
        <v>0</v>
      </c>
      <c r="M39" s="14" t="b">
        <f t="shared" si="9"/>
        <v>0</v>
      </c>
      <c r="N39" s="130">
        <f t="shared" si="10"/>
        <v>0</v>
      </c>
      <c r="O39" s="14" t="b">
        <f t="shared" si="11"/>
        <v>0</v>
      </c>
      <c r="P39" s="130">
        <f t="shared" si="12"/>
        <v>0</v>
      </c>
      <c r="Q39" s="14" t="b">
        <f t="shared" si="13"/>
        <v>0</v>
      </c>
      <c r="R39" s="130">
        <f t="shared" si="14"/>
        <v>0</v>
      </c>
      <c r="S39" s="14" t="b">
        <f t="shared" si="15"/>
        <v>0</v>
      </c>
      <c r="T39" s="130">
        <f t="shared" si="16"/>
        <v>0</v>
      </c>
      <c r="U39" s="14" t="b">
        <f t="shared" si="17"/>
        <v>0</v>
      </c>
      <c r="V39" s="130">
        <f t="shared" si="18"/>
        <v>0</v>
      </c>
      <c r="W39" s="14" t="b">
        <f t="shared" si="19"/>
        <v>0</v>
      </c>
      <c r="X39" s="130">
        <f t="shared" si="20"/>
        <v>0</v>
      </c>
      <c r="Y39" s="178">
        <f>IF(BE39="",1,VLOOKUP(BE39,data!$C$3:$D$10,2,FALSE))*(1+BF39)</f>
        <v>1</v>
      </c>
      <c r="Z39" s="85"/>
      <c r="AA39" s="144"/>
      <c r="AB39" s="84"/>
      <c r="AC39" s="85"/>
      <c r="AD39" s="85"/>
      <c r="AE39" s="85"/>
      <c r="AF39" s="85"/>
      <c r="AG39" s="85"/>
      <c r="AH39" s="144"/>
      <c r="AI39" s="84"/>
      <c r="AJ39" s="85"/>
      <c r="AK39" s="85"/>
      <c r="AL39" s="85"/>
      <c r="AM39" s="85"/>
      <c r="AN39" s="85"/>
      <c r="AO39" s="144"/>
      <c r="AP39" s="84"/>
      <c r="AQ39" s="85"/>
      <c r="AR39" s="85"/>
      <c r="AS39" s="85"/>
      <c r="AT39" s="85"/>
      <c r="AU39" s="85"/>
      <c r="AV39" s="144"/>
      <c r="AW39" s="84"/>
      <c r="AX39" s="85"/>
      <c r="AY39" s="85"/>
      <c r="AZ39" s="85"/>
      <c r="BA39" s="85"/>
      <c r="BB39" s="85"/>
      <c r="BC39" s="144"/>
      <c r="BD39" s="84"/>
      <c r="BE39" s="7"/>
      <c r="BF39" s="8"/>
      <c r="BG39" s="8"/>
      <c r="BH39" s="6">
        <f t="shared" si="21"/>
        <v>0</v>
      </c>
      <c r="BI39" s="6">
        <f t="shared" si="22"/>
        <v>0</v>
      </c>
      <c r="BJ39" s="6">
        <f t="shared" si="23"/>
        <v>0</v>
      </c>
      <c r="BK39" s="6">
        <f t="shared" si="2"/>
        <v>0</v>
      </c>
      <c r="BL39" s="6">
        <f t="shared" si="3"/>
        <v>0</v>
      </c>
      <c r="BN39" s="26">
        <f t="shared" si="24"/>
        <v>0</v>
      </c>
      <c r="BO39" s="26">
        <f t="shared" si="25"/>
        <v>0</v>
      </c>
      <c r="BP39" s="26">
        <f t="shared" si="26"/>
        <v>0</v>
      </c>
      <c r="BQ39" s="26">
        <f t="shared" si="27"/>
        <v>0</v>
      </c>
      <c r="BR39" s="26">
        <f t="shared" si="28"/>
        <v>0</v>
      </c>
      <c r="BS39" s="26">
        <f t="shared" si="29"/>
        <v>0</v>
      </c>
    </row>
    <row r="40" spans="1:71" ht="12.75" customHeight="1">
      <c r="A40" s="1"/>
      <c r="B40" s="2"/>
      <c r="C40" s="3"/>
      <c r="D40" s="4"/>
      <c r="E40" s="5">
        <f t="shared" si="4"/>
      </c>
      <c r="F40" s="5">
        <f t="shared" si="1"/>
      </c>
      <c r="G40" s="131"/>
      <c r="H40" s="6">
        <f>IF(OR(C40=0,D40=0),"",VLOOKUP(C40,data!$J$54:$S$54,VLOOKUP(D40,data!$R$4:$S$12,2,FALSE)))</f>
      </c>
      <c r="I40" s="88">
        <f t="shared" si="5"/>
        <v>0</v>
      </c>
      <c r="J40" s="6">
        <f t="shared" si="6"/>
        <v>0</v>
      </c>
      <c r="K40" s="14" t="b">
        <f t="shared" si="7"/>
        <v>0</v>
      </c>
      <c r="L40" s="130">
        <f t="shared" si="8"/>
        <v>0</v>
      </c>
      <c r="M40" s="14" t="b">
        <f t="shared" si="9"/>
        <v>0</v>
      </c>
      <c r="N40" s="130">
        <f t="shared" si="10"/>
        <v>0</v>
      </c>
      <c r="O40" s="14" t="b">
        <f t="shared" si="11"/>
        <v>0</v>
      </c>
      <c r="P40" s="130">
        <f t="shared" si="12"/>
        <v>0</v>
      </c>
      <c r="Q40" s="14" t="b">
        <f t="shared" si="13"/>
        <v>0</v>
      </c>
      <c r="R40" s="130">
        <f t="shared" si="14"/>
        <v>0</v>
      </c>
      <c r="S40" s="14" t="b">
        <f t="shared" si="15"/>
        <v>0</v>
      </c>
      <c r="T40" s="130">
        <f t="shared" si="16"/>
        <v>0</v>
      </c>
      <c r="U40" s="14" t="b">
        <f t="shared" si="17"/>
        <v>0</v>
      </c>
      <c r="V40" s="130">
        <f t="shared" si="18"/>
        <v>0</v>
      </c>
      <c r="W40" s="14" t="b">
        <f t="shared" si="19"/>
        <v>0</v>
      </c>
      <c r="X40" s="130">
        <f t="shared" si="20"/>
        <v>0</v>
      </c>
      <c r="Y40" s="178">
        <f>IF(BE40="",1,VLOOKUP(BE40,data!$C$3:$D$10,2,FALSE))*(1+BF40)</f>
        <v>1</v>
      </c>
      <c r="Z40" s="85"/>
      <c r="AA40" s="144"/>
      <c r="AB40" s="84"/>
      <c r="AC40" s="85"/>
      <c r="AD40" s="85"/>
      <c r="AE40" s="85"/>
      <c r="AF40" s="85"/>
      <c r="AG40" s="85"/>
      <c r="AH40" s="144"/>
      <c r="AI40" s="84"/>
      <c r="AJ40" s="85"/>
      <c r="AK40" s="85"/>
      <c r="AL40" s="85"/>
      <c r="AM40" s="85"/>
      <c r="AN40" s="85"/>
      <c r="AO40" s="144"/>
      <c r="AP40" s="84"/>
      <c r="AQ40" s="85"/>
      <c r="AR40" s="85"/>
      <c r="AS40" s="85"/>
      <c r="AT40" s="85"/>
      <c r="AU40" s="85"/>
      <c r="AV40" s="144"/>
      <c r="AW40" s="84"/>
      <c r="AX40" s="85"/>
      <c r="AY40" s="85"/>
      <c r="AZ40" s="85"/>
      <c r="BA40" s="85"/>
      <c r="BB40" s="85"/>
      <c r="BC40" s="144"/>
      <c r="BD40" s="84"/>
      <c r="BE40" s="7"/>
      <c r="BF40" s="8"/>
      <c r="BG40" s="8"/>
      <c r="BH40" s="6">
        <f t="shared" si="21"/>
        <v>0</v>
      </c>
      <c r="BI40" s="6">
        <f t="shared" si="22"/>
        <v>0</v>
      </c>
      <c r="BJ40" s="6">
        <f t="shared" si="23"/>
        <v>0</v>
      </c>
      <c r="BK40" s="6">
        <f t="shared" si="2"/>
        <v>0</v>
      </c>
      <c r="BL40" s="6">
        <f t="shared" si="3"/>
        <v>0</v>
      </c>
      <c r="BN40" s="26">
        <f t="shared" si="24"/>
        <v>0</v>
      </c>
      <c r="BO40" s="26">
        <f t="shared" si="25"/>
        <v>0</v>
      </c>
      <c r="BP40" s="26">
        <f t="shared" si="26"/>
        <v>0</v>
      </c>
      <c r="BQ40" s="26">
        <f t="shared" si="27"/>
        <v>0</v>
      </c>
      <c r="BR40" s="26">
        <f t="shared" si="28"/>
        <v>0</v>
      </c>
      <c r="BS40" s="26">
        <f t="shared" si="29"/>
        <v>0</v>
      </c>
    </row>
    <row r="41" spans="1:71" ht="12.75" customHeight="1">
      <c r="A41" s="1"/>
      <c r="B41" s="2"/>
      <c r="C41" s="3"/>
      <c r="D41" s="4"/>
      <c r="E41" s="5">
        <f t="shared" si="4"/>
      </c>
      <c r="F41" s="5">
        <f t="shared" si="1"/>
      </c>
      <c r="G41" s="131"/>
      <c r="H41" s="6">
        <f>IF(OR(C41=0,D41=0),"",VLOOKUP(C41,data!$J$54:$S$54,VLOOKUP(D41,data!$R$4:$S$12,2,FALSE)))</f>
      </c>
      <c r="I41" s="88">
        <f t="shared" si="5"/>
        <v>0</v>
      </c>
      <c r="J41" s="6">
        <f t="shared" si="6"/>
        <v>0</v>
      </c>
      <c r="K41" s="14" t="b">
        <f t="shared" si="7"/>
        <v>0</v>
      </c>
      <c r="L41" s="130">
        <f t="shared" si="8"/>
        <v>0</v>
      </c>
      <c r="M41" s="14" t="b">
        <f t="shared" si="9"/>
        <v>0</v>
      </c>
      <c r="N41" s="130">
        <f t="shared" si="10"/>
        <v>0</v>
      </c>
      <c r="O41" s="14" t="b">
        <f t="shared" si="11"/>
        <v>0</v>
      </c>
      <c r="P41" s="130">
        <f t="shared" si="12"/>
        <v>0</v>
      </c>
      <c r="Q41" s="14" t="b">
        <f t="shared" si="13"/>
        <v>0</v>
      </c>
      <c r="R41" s="130">
        <f t="shared" si="14"/>
        <v>0</v>
      </c>
      <c r="S41" s="14" t="b">
        <f t="shared" si="15"/>
        <v>0</v>
      </c>
      <c r="T41" s="130">
        <f t="shared" si="16"/>
        <v>0</v>
      </c>
      <c r="U41" s="14" t="b">
        <f t="shared" si="17"/>
        <v>0</v>
      </c>
      <c r="V41" s="130">
        <f t="shared" si="18"/>
        <v>0</v>
      </c>
      <c r="W41" s="14" t="b">
        <f t="shared" si="19"/>
        <v>0</v>
      </c>
      <c r="X41" s="130">
        <f t="shared" si="20"/>
        <v>0</v>
      </c>
      <c r="Y41" s="178">
        <f>IF(BE41="",1,VLOOKUP(BE41,data!$C$3:$D$10,2,FALSE))*(1+BF41)</f>
        <v>1</v>
      </c>
      <c r="Z41" s="85"/>
      <c r="AA41" s="144"/>
      <c r="AB41" s="84"/>
      <c r="AC41" s="85"/>
      <c r="AD41" s="85"/>
      <c r="AE41" s="85"/>
      <c r="AF41" s="85"/>
      <c r="AG41" s="85"/>
      <c r="AH41" s="144"/>
      <c r="AI41" s="84"/>
      <c r="AJ41" s="85"/>
      <c r="AK41" s="85"/>
      <c r="AL41" s="85"/>
      <c r="AM41" s="85"/>
      <c r="AN41" s="85"/>
      <c r="AO41" s="144"/>
      <c r="AP41" s="84"/>
      <c r="AQ41" s="85"/>
      <c r="AR41" s="85"/>
      <c r="AS41" s="85"/>
      <c r="AT41" s="85"/>
      <c r="AU41" s="85"/>
      <c r="AV41" s="144"/>
      <c r="AW41" s="84"/>
      <c r="AX41" s="85"/>
      <c r="AY41" s="85"/>
      <c r="AZ41" s="85"/>
      <c r="BA41" s="85"/>
      <c r="BB41" s="85"/>
      <c r="BC41" s="144"/>
      <c r="BD41" s="84"/>
      <c r="BE41" s="7"/>
      <c r="BF41" s="8"/>
      <c r="BG41" s="8"/>
      <c r="BH41" s="6">
        <f t="shared" si="21"/>
        <v>0</v>
      </c>
      <c r="BI41" s="91">
        <f t="shared" si="22"/>
        <v>0</v>
      </c>
      <c r="BJ41" s="91">
        <f t="shared" si="23"/>
        <v>0</v>
      </c>
      <c r="BK41" s="91">
        <f t="shared" si="2"/>
        <v>0</v>
      </c>
      <c r="BL41" s="91">
        <f t="shared" si="3"/>
        <v>0</v>
      </c>
      <c r="BN41" s="26">
        <f t="shared" si="24"/>
        <v>0</v>
      </c>
      <c r="BO41" s="26">
        <f t="shared" si="25"/>
        <v>0</v>
      </c>
      <c r="BP41" s="26">
        <f t="shared" si="26"/>
        <v>0</v>
      </c>
      <c r="BQ41" s="26">
        <f t="shared" si="27"/>
        <v>0</v>
      </c>
      <c r="BR41" s="26">
        <f t="shared" si="28"/>
        <v>0</v>
      </c>
      <c r="BS41" s="26">
        <f t="shared" si="29"/>
        <v>0</v>
      </c>
    </row>
    <row r="42" spans="1:64" ht="13.5" customHeight="1">
      <c r="A42" s="16"/>
      <c r="B42" s="9"/>
      <c r="C42" s="9"/>
      <c r="D42" s="17"/>
      <c r="E42" s="17"/>
      <c r="F42" s="17"/>
      <c r="G42" s="18"/>
      <c r="H42" s="125" t="str">
        <f>IF($B$2="BG","Тотал:","Total:")</f>
        <v>Тотал:</v>
      </c>
      <c r="I42" s="175">
        <f>SUM(I13:I41)</f>
        <v>0</v>
      </c>
      <c r="J42" s="234">
        <f>SUM(J13:J41)</f>
        <v>0</v>
      </c>
      <c r="K42" s="147"/>
      <c r="L42" s="147">
        <f aca="true" t="shared" si="30" ref="L42:X42">SUM(L13:L41)</f>
        <v>0</v>
      </c>
      <c r="M42" s="147"/>
      <c r="N42" s="147">
        <f t="shared" si="30"/>
        <v>0</v>
      </c>
      <c r="O42" s="147"/>
      <c r="P42" s="147">
        <f t="shared" si="30"/>
        <v>0</v>
      </c>
      <c r="Q42" s="147"/>
      <c r="R42" s="147">
        <f t="shared" si="30"/>
        <v>0</v>
      </c>
      <c r="S42" s="147"/>
      <c r="T42" s="147">
        <f t="shared" si="30"/>
        <v>0</v>
      </c>
      <c r="U42" s="147"/>
      <c r="V42" s="147">
        <f t="shared" si="30"/>
        <v>0</v>
      </c>
      <c r="W42" s="147"/>
      <c r="X42" s="147">
        <f t="shared" si="30"/>
        <v>0</v>
      </c>
      <c r="Y42" s="19"/>
      <c r="Z42" s="90">
        <f aca="true" t="shared" si="31" ref="Z42:AE42">COUNTA(Z13:Z41)</f>
        <v>0</v>
      </c>
      <c r="AA42" s="90">
        <f t="shared" si="31"/>
        <v>0</v>
      </c>
      <c r="AB42" s="90">
        <f t="shared" si="31"/>
        <v>0</v>
      </c>
      <c r="AC42" s="90">
        <f t="shared" si="31"/>
        <v>0</v>
      </c>
      <c r="AD42" s="90">
        <f t="shared" si="31"/>
        <v>0</v>
      </c>
      <c r="AE42" s="90">
        <f t="shared" si="31"/>
        <v>0</v>
      </c>
      <c r="AF42" s="90">
        <f>COUNTA(AF13:AF41)</f>
        <v>0</v>
      </c>
      <c r="AG42" s="90">
        <f aca="true" t="shared" si="32" ref="AG42:BD42">COUNTA(AG13:AG41)</f>
        <v>0</v>
      </c>
      <c r="AH42" s="90">
        <f t="shared" si="32"/>
        <v>0</v>
      </c>
      <c r="AI42" s="90">
        <f t="shared" si="32"/>
        <v>0</v>
      </c>
      <c r="AJ42" s="90">
        <f t="shared" si="32"/>
        <v>0</v>
      </c>
      <c r="AK42" s="90">
        <f t="shared" si="32"/>
        <v>0</v>
      </c>
      <c r="AL42" s="90">
        <f t="shared" si="32"/>
        <v>0</v>
      </c>
      <c r="AM42" s="90">
        <f t="shared" si="32"/>
        <v>0</v>
      </c>
      <c r="AN42" s="90">
        <f t="shared" si="32"/>
        <v>0</v>
      </c>
      <c r="AO42" s="90">
        <f t="shared" si="32"/>
        <v>0</v>
      </c>
      <c r="AP42" s="90">
        <f t="shared" si="32"/>
        <v>0</v>
      </c>
      <c r="AQ42" s="90">
        <f t="shared" si="32"/>
        <v>0</v>
      </c>
      <c r="AR42" s="90">
        <f t="shared" si="32"/>
        <v>0</v>
      </c>
      <c r="AS42" s="90">
        <f t="shared" si="32"/>
        <v>0</v>
      </c>
      <c r="AT42" s="90">
        <f t="shared" si="32"/>
        <v>0</v>
      </c>
      <c r="AU42" s="90">
        <f t="shared" si="32"/>
        <v>0</v>
      </c>
      <c r="AV42" s="90">
        <f t="shared" si="32"/>
        <v>0</v>
      </c>
      <c r="AW42" s="90">
        <f>COUNTA(AW13:AW41)</f>
        <v>0</v>
      </c>
      <c r="AX42" s="90">
        <f>COUNTA(AX13:AX41)</f>
        <v>0</v>
      </c>
      <c r="AY42" s="90">
        <f>COUNTA(AY13:AY41)</f>
        <v>0</v>
      </c>
      <c r="AZ42" s="90">
        <f>COUNTA(AZ13:AZ41)</f>
        <v>0</v>
      </c>
      <c r="BA42" s="90">
        <f>COUNTA(BA13:BA41)</f>
        <v>0</v>
      </c>
      <c r="BB42" s="90">
        <f t="shared" si="32"/>
        <v>0</v>
      </c>
      <c r="BC42" s="90">
        <f t="shared" si="32"/>
        <v>0</v>
      </c>
      <c r="BD42" s="90">
        <f t="shared" si="32"/>
        <v>0</v>
      </c>
      <c r="BE42" s="9"/>
      <c r="BF42" s="9"/>
      <c r="BG42" s="10"/>
      <c r="BH42" s="10"/>
      <c r="BI42" s="146">
        <f>SUM(BI13:BI41)</f>
        <v>0</v>
      </c>
      <c r="BJ42" s="146">
        <f>SUM(BJ13:BJ41)</f>
        <v>0</v>
      </c>
      <c r="BK42" s="146">
        <f>SUM(BK13:BK41)</f>
        <v>0</v>
      </c>
      <c r="BL42" s="146">
        <f>SUM(BL13:BL41)</f>
        <v>0</v>
      </c>
    </row>
    <row r="43" spans="1:61" ht="9.75" customHeight="1">
      <c r="A43" s="10"/>
      <c r="B43" s="10"/>
      <c r="C43" s="11"/>
      <c r="D43" s="11"/>
      <c r="E43" s="11"/>
      <c r="F43" s="11"/>
      <c r="G43" s="11"/>
      <c r="H43" s="124"/>
      <c r="I43" s="254" t="str">
        <f>IF($B$2="BG","Бюджет по седмици","Budget per week")</f>
        <v>Бюджет по седмици</v>
      </c>
      <c r="J43" s="254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Z43" s="253">
        <f>SUM(BN13:BN41)</f>
        <v>0</v>
      </c>
      <c r="AA43" s="253"/>
      <c r="AB43" s="253"/>
      <c r="AC43" s="253">
        <f>SUM(BO13:BO41)</f>
        <v>0</v>
      </c>
      <c r="AD43" s="253"/>
      <c r="AE43" s="253"/>
      <c r="AF43" s="253"/>
      <c r="AG43" s="253"/>
      <c r="AH43" s="253"/>
      <c r="AI43" s="253"/>
      <c r="AJ43" s="253">
        <f>SUM(BP13:BP41)</f>
        <v>0</v>
      </c>
      <c r="AK43" s="253"/>
      <c r="AL43" s="253"/>
      <c r="AM43" s="253"/>
      <c r="AN43" s="253"/>
      <c r="AO43" s="253"/>
      <c r="AP43" s="253"/>
      <c r="AQ43" s="253">
        <f>SUM(BQ13:BQ41)</f>
        <v>0</v>
      </c>
      <c r="AR43" s="253"/>
      <c r="AS43" s="253"/>
      <c r="AT43" s="253"/>
      <c r="AU43" s="253"/>
      <c r="AV43" s="253"/>
      <c r="AW43" s="253"/>
      <c r="AX43" s="269">
        <f>SUM(BR13:BR41)</f>
        <v>0</v>
      </c>
      <c r="AY43" s="270"/>
      <c r="AZ43" s="270"/>
      <c r="BA43" s="270"/>
      <c r="BB43" s="270"/>
      <c r="BC43" s="270"/>
      <c r="BD43" s="271"/>
      <c r="BE43" s="11"/>
      <c r="BF43" s="11"/>
      <c r="BG43" s="11"/>
      <c r="BH43" s="11"/>
      <c r="BI43" s="11"/>
    </row>
    <row r="44" spans="3:61" ht="9.75" customHeight="1">
      <c r="C44" s="11"/>
      <c r="D44" s="11"/>
      <c r="E44" s="11"/>
      <c r="F44" s="11"/>
      <c r="G44" s="11"/>
      <c r="H44" s="263" t="str">
        <f>IF($B$2="BG","Брой излъчвания по седмици","Number per week")</f>
        <v>Брой излъчвания по седмици</v>
      </c>
      <c r="I44" s="263"/>
      <c r="J44" s="263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Z44" s="253">
        <f>SUM(Z42:AB42)</f>
        <v>0</v>
      </c>
      <c r="AA44" s="253"/>
      <c r="AB44" s="253"/>
      <c r="AC44" s="253">
        <f>SUM(AC42:AI42)</f>
        <v>0</v>
      </c>
      <c r="AD44" s="253"/>
      <c r="AE44" s="253"/>
      <c r="AF44" s="253"/>
      <c r="AG44" s="253"/>
      <c r="AH44" s="253"/>
      <c r="AI44" s="253"/>
      <c r="AJ44" s="253">
        <f>SUM(AJ42:AP42)</f>
        <v>0</v>
      </c>
      <c r="AK44" s="253"/>
      <c r="AL44" s="253"/>
      <c r="AM44" s="253"/>
      <c r="AN44" s="253"/>
      <c r="AO44" s="253"/>
      <c r="AP44" s="253"/>
      <c r="AQ44" s="253">
        <f>SUM(AQ42:AW42)</f>
        <v>0</v>
      </c>
      <c r="AR44" s="253"/>
      <c r="AS44" s="253"/>
      <c r="AT44" s="253"/>
      <c r="AU44" s="253"/>
      <c r="AV44" s="253"/>
      <c r="AW44" s="253"/>
      <c r="AX44" s="269">
        <f>SUM(AX42:BD42)</f>
        <v>0</v>
      </c>
      <c r="AY44" s="270"/>
      <c r="AZ44" s="270"/>
      <c r="BA44" s="270"/>
      <c r="BB44" s="270"/>
      <c r="BC44" s="270"/>
      <c r="BD44" s="271"/>
      <c r="BE44" s="11"/>
      <c r="BF44" s="11"/>
      <c r="BG44" s="11"/>
      <c r="BH44" s="11"/>
      <c r="BI44" s="11"/>
    </row>
    <row r="45" spans="1:2" ht="18" customHeight="1">
      <c r="A45" s="264" t="str">
        <f>IF($B$2="BG","Отстъпки","Discounts")</f>
        <v>Отстъпки</v>
      </c>
      <c r="B45" s="186" t="str">
        <f>IF($B$2="BG","Брутна сума","Gross budget")</f>
        <v>Брутна сума</v>
      </c>
    </row>
    <row r="46" spans="1:10" ht="14.25" customHeight="1">
      <c r="A46" s="265"/>
      <c r="B46" s="169">
        <f>J42</f>
        <v>0</v>
      </c>
      <c r="C46" s="257" t="str">
        <f>IF($B$2="BG","Разпределение на бюджета по канали и PT/OPT","Budget Distribution by Channel and PT/OPT")</f>
        <v>Разпределение на бюджета по канали и PT/OPT</v>
      </c>
      <c r="D46" s="258"/>
      <c r="E46" s="258"/>
      <c r="F46" s="258"/>
      <c r="G46" s="258"/>
      <c r="H46" s="258"/>
      <c r="I46" s="259"/>
      <c r="J46" s="21"/>
    </row>
    <row r="47" spans="1:61" s="209" customFormat="1" ht="14.25" customHeight="1">
      <c r="A47" s="206" t="str">
        <f>IF($B$2="BG","Отстъпки","Discounts")</f>
        <v>Отстъпки</v>
      </c>
      <c r="B47" s="207">
        <v>0</v>
      </c>
      <c r="C47" s="260"/>
      <c r="D47" s="261"/>
      <c r="E47" s="261"/>
      <c r="F47" s="261"/>
      <c r="G47" s="261"/>
      <c r="H47" s="261"/>
      <c r="I47" s="262"/>
      <c r="J47" s="208"/>
      <c r="K47" s="208"/>
      <c r="Q47" s="208"/>
      <c r="R47" s="208"/>
      <c r="S47" s="208"/>
      <c r="T47" s="208"/>
      <c r="U47" s="208"/>
      <c r="V47" s="208"/>
      <c r="W47" s="208"/>
      <c r="X47" s="208"/>
      <c r="BF47" s="208"/>
      <c r="BG47" s="208"/>
      <c r="BH47" s="208"/>
      <c r="BI47" s="208"/>
    </row>
    <row r="48" spans="1:61" s="209" customFormat="1" ht="14.25" customHeight="1">
      <c r="A48" s="206" t="str">
        <f>IF($B$2="BG","Отстъпки","Discounts")</f>
        <v>Отстъпки</v>
      </c>
      <c r="B48" s="207">
        <v>0</v>
      </c>
      <c r="C48" s="255" t="str">
        <f>IF($B$2="BG","Канал","Channel")</f>
        <v>Канал</v>
      </c>
      <c r="D48" s="255" t="str">
        <f>IF($B$2="BG","Брутен бюджет","Gross budget")</f>
        <v>Брутен бюджет</v>
      </c>
      <c r="E48" s="255" t="str">
        <f>IF($B$2="BG","% от общия бюджет","Channel distribution %")</f>
        <v>% от общия бюджет</v>
      </c>
      <c r="F48" s="255" t="str">
        <f>IF($B$2="BG","Бюджет в ПТ","Budget in PT")</f>
        <v>Бюджет в ПТ</v>
      </c>
      <c r="G48" s="255" t="str">
        <f>IF($B$2="BG","Бюджет в ОПТ","Budget in OPT")</f>
        <v>Бюджет в ОПТ</v>
      </c>
      <c r="H48" s="255" t="s">
        <v>50</v>
      </c>
      <c r="I48" s="255" t="s">
        <v>51</v>
      </c>
      <c r="J48" s="208"/>
      <c r="Q48" s="208"/>
      <c r="R48" s="208"/>
      <c r="S48" s="208"/>
      <c r="T48" s="208"/>
      <c r="U48" s="208"/>
      <c r="V48" s="208"/>
      <c r="W48" s="208"/>
      <c r="X48" s="208"/>
      <c r="BF48" s="208"/>
      <c r="BG48" s="208"/>
      <c r="BH48" s="208"/>
      <c r="BI48" s="208"/>
    </row>
    <row r="49" spans="1:61" s="209" customFormat="1" ht="14.25" customHeight="1">
      <c r="A49" s="210" t="str">
        <f>IF($B$2="BG","Общо отстъпки","Total Discounts")</f>
        <v>Общо отстъпки</v>
      </c>
      <c r="B49" s="211">
        <f>1-(1-B47)*(1-B48)</f>
        <v>0</v>
      </c>
      <c r="C49" s="255"/>
      <c r="D49" s="255"/>
      <c r="E49" s="255"/>
      <c r="F49" s="255"/>
      <c r="G49" s="255"/>
      <c r="H49" s="255"/>
      <c r="I49" s="255"/>
      <c r="J49" s="208"/>
      <c r="Q49" s="208"/>
      <c r="R49" s="208"/>
      <c r="S49" s="208"/>
      <c r="T49" s="208"/>
      <c r="U49" s="208"/>
      <c r="V49" s="208"/>
      <c r="W49" s="208"/>
      <c r="X49" s="208"/>
      <c r="BF49" s="208"/>
      <c r="BG49" s="208"/>
      <c r="BH49" s="208"/>
      <c r="BI49" s="208"/>
    </row>
    <row r="50" spans="1:61" s="209" customFormat="1" ht="14.25" customHeight="1">
      <c r="A50" s="206" t="str">
        <f>IF($B$2="BG","Изработка на платен репортаж","Paid report Producement")</f>
        <v>Изработка на платен репортаж</v>
      </c>
      <c r="B50" s="212">
        <v>0</v>
      </c>
      <c r="C50" s="206" t="str">
        <f>IF($B$2="BG","БНТ 1 фикс. цени","BNT 1 -fixed price")</f>
        <v>БНТ 1 фикс. цени</v>
      </c>
      <c r="D50" s="213">
        <f>B46</f>
        <v>0</v>
      </c>
      <c r="E50" s="214">
        <f>_xlfn.IFERROR(D50/$D$54,0)</f>
        <v>0</v>
      </c>
      <c r="F50" s="215">
        <f>_xlfn.IFERROR(SUMIF($F$13:$F$41,"PT",$J$13:$J$41),0)</f>
        <v>0</v>
      </c>
      <c r="G50" s="215">
        <f>_xlfn.IFERROR(SUMIF($F$13:$F$41,"OPT",$J$13:$J$41),0)</f>
        <v>0</v>
      </c>
      <c r="H50" s="216">
        <f>_xlfn.IFERROR(F50/J42,0)</f>
        <v>0</v>
      </c>
      <c r="I50" s="216">
        <f>_xlfn.IFERROR(G50/J42,0)</f>
        <v>0</v>
      </c>
      <c r="Q50" s="208"/>
      <c r="R50" s="208"/>
      <c r="S50" s="208"/>
      <c r="T50" s="208"/>
      <c r="U50" s="208"/>
      <c r="V50" s="208"/>
      <c r="W50" s="208"/>
      <c r="X50" s="208"/>
      <c r="BF50" s="208"/>
      <c r="BG50" s="208"/>
      <c r="BH50" s="208"/>
      <c r="BI50" s="208"/>
    </row>
    <row r="51" spans="1:61" s="209" customFormat="1" ht="14.25" customHeight="1">
      <c r="A51" s="206" t="str">
        <f>IF($B$2="BG","Утежнения","Surcharge")</f>
        <v>Утежнения</v>
      </c>
      <c r="B51" s="217">
        <f>BJ42</f>
        <v>0</v>
      </c>
      <c r="C51" s="206" t="str">
        <f>IF($B$2="BG","БНТ 2 фикс. цени","BNT 2 fixed")</f>
        <v>БНТ 2 фикс. цени</v>
      </c>
      <c r="D51" s="213">
        <f>'БНТ 2_fixed'!B37</f>
        <v>0</v>
      </c>
      <c r="E51" s="214">
        <f>'БНТ 2_fixed'!E42</f>
        <v>0</v>
      </c>
      <c r="F51" s="215">
        <f>'БНТ 2_fixed'!F42</f>
        <v>0</v>
      </c>
      <c r="G51" s="215">
        <f>'БНТ 2_fixed'!G42</f>
        <v>0</v>
      </c>
      <c r="H51" s="216">
        <f>'БНТ 2_fixed'!H42</f>
        <v>0</v>
      </c>
      <c r="I51" s="216">
        <f>'БНТ 2_fixed'!I42</f>
        <v>0</v>
      </c>
      <c r="Q51" s="208"/>
      <c r="R51" s="208"/>
      <c r="S51" s="208"/>
      <c r="T51" s="208"/>
      <c r="U51" s="208"/>
      <c r="V51" s="208"/>
      <c r="W51" s="208"/>
      <c r="X51" s="208"/>
      <c r="BF51" s="208"/>
      <c r="BG51" s="208"/>
      <c r="BH51" s="208"/>
      <c r="BI51" s="208"/>
    </row>
    <row r="52" spans="1:61" s="209" customFormat="1" ht="14.25" customHeight="1">
      <c r="A52" s="206" t="str">
        <f>IF($B$2="BG","Закъснение","Delay")</f>
        <v>Закъснение</v>
      </c>
      <c r="B52" s="212">
        <f>BK41</f>
        <v>0</v>
      </c>
      <c r="C52" s="206" t="str">
        <f>IF($B$2="BG","БНТ 3 фикс. цени","BNT 3 fixed")</f>
        <v>БНТ 3 фикс. цени</v>
      </c>
      <c r="D52" s="213">
        <f>'БНТ 3_Ffixed'!B48</f>
        <v>0</v>
      </c>
      <c r="E52" s="214">
        <f>'БНТ 3_Ffixed'!E54</f>
        <v>0</v>
      </c>
      <c r="F52" s="215">
        <f>'БНТ 3_Ffixed'!F54</f>
        <v>0</v>
      </c>
      <c r="G52" s="215">
        <f>'БНТ 3_Ffixed'!G54</f>
        <v>0</v>
      </c>
      <c r="H52" s="216" t="str">
        <f>'БНТ 3_Ffixed'!H54</f>
        <v>0%</v>
      </c>
      <c r="I52" s="216" t="str">
        <f>'БНТ 3_Ffixed'!H54</f>
        <v>0%</v>
      </c>
      <c r="Q52" s="208"/>
      <c r="R52" s="208"/>
      <c r="S52" s="208"/>
      <c r="T52" s="208"/>
      <c r="U52" s="208"/>
      <c r="V52" s="208"/>
      <c r="W52" s="208"/>
      <c r="X52" s="208"/>
      <c r="BF52" s="208"/>
      <c r="BG52" s="208"/>
      <c r="BH52" s="208"/>
      <c r="BI52" s="208"/>
    </row>
    <row r="53" spans="1:61" s="209" customFormat="1" ht="14.25" customHeight="1">
      <c r="A53" s="210" t="str">
        <f>IF($B$2="BG","Нетна сума без ДДС","Net budget without VAT")</f>
        <v>Нетна сума без ДДС</v>
      </c>
      <c r="B53" s="218">
        <f>(B46*(100%-B47)*(100%-B48)+B50+B52)</f>
        <v>0</v>
      </c>
      <c r="C53" s="206" t="str">
        <f>IF($B$2="BG","БНТ 4 фикс. цени","BNT 4 fixed")</f>
        <v>БНТ 4 фикс. цени</v>
      </c>
      <c r="D53" s="213">
        <f>'БНТ 4_fixed'!B51</f>
        <v>0</v>
      </c>
      <c r="E53" s="214">
        <f>'БНТ 4_fixed'!E58</f>
        <v>0</v>
      </c>
      <c r="F53" s="215">
        <f>'БНТ 4_fixed'!F58</f>
        <v>0</v>
      </c>
      <c r="G53" s="215">
        <f>'БНТ 4_fixed'!G58</f>
        <v>0</v>
      </c>
      <c r="H53" s="216">
        <f>'БНТ 4_fixed'!H58</f>
        <v>0</v>
      </c>
      <c r="I53" s="216" t="str">
        <f>'БНТ 4_fixed'!I58</f>
        <v>0%</v>
      </c>
      <c r="Q53" s="208"/>
      <c r="R53" s="208"/>
      <c r="S53" s="208"/>
      <c r="T53" s="208"/>
      <c r="U53" s="208"/>
      <c r="V53" s="208"/>
      <c r="W53" s="208"/>
      <c r="X53" s="208"/>
      <c r="BF53" s="208"/>
      <c r="BG53" s="208"/>
      <c r="BH53" s="208"/>
      <c r="BI53" s="208"/>
    </row>
    <row r="54" spans="1:26" s="209" customFormat="1" ht="14.25" customHeight="1">
      <c r="A54" s="206" t="str">
        <f>IF($B$2="BG","ДДС","VAT")</f>
        <v>ДДС</v>
      </c>
      <c r="B54" s="219">
        <v>0.2</v>
      </c>
      <c r="C54" s="220" t="str">
        <f>IF($B$2="BG","Общо","Total")</f>
        <v>Общо</v>
      </c>
      <c r="D54" s="213">
        <f>SUM(D50:D53)</f>
        <v>0</v>
      </c>
      <c r="E54" s="214">
        <f>SUM(E50:E53)</f>
        <v>0</v>
      </c>
      <c r="F54" s="213">
        <f>SUM(F50:F53)</f>
        <v>0</v>
      </c>
      <c r="G54" s="213">
        <f>SUM(G50:G53)</f>
        <v>0</v>
      </c>
      <c r="H54" s="216">
        <f>IF(E54=0,"",(F54/D54))</f>
      </c>
      <c r="I54" s="216">
        <f>IF(E54=0,"",(G54/D54))</f>
      </c>
      <c r="Q54" s="208"/>
      <c r="R54" s="208"/>
      <c r="S54" s="208"/>
      <c r="T54" s="208"/>
      <c r="U54" s="208"/>
      <c r="V54" s="208"/>
      <c r="W54" s="208"/>
      <c r="X54" s="208"/>
      <c r="Z54" s="208"/>
    </row>
    <row r="55" spans="1:26" s="209" customFormat="1" ht="14.25" customHeight="1">
      <c r="A55" s="210" t="str">
        <f>IF($B$2="BG","Нетна сума с ДДС","Net budget with VAT")</f>
        <v>Нетна сума с ДДС</v>
      </c>
      <c r="B55" s="218">
        <f>B53+(B53*B54)</f>
        <v>0</v>
      </c>
      <c r="G55" s="208"/>
      <c r="H55" s="208"/>
      <c r="I55" s="208"/>
      <c r="Q55" s="208"/>
      <c r="R55" s="208"/>
      <c r="S55" s="208"/>
      <c r="T55" s="208"/>
      <c r="U55" s="208"/>
      <c r="V55" s="208"/>
      <c r="W55" s="208"/>
      <c r="X55" s="208"/>
      <c r="Y55" s="208"/>
      <c r="Z55" s="208"/>
    </row>
    <row r="56" spans="1:26" ht="12" customHeight="1">
      <c r="A56" s="24"/>
      <c r="B56" s="28"/>
      <c r="G56" s="21"/>
      <c r="H56" s="21"/>
      <c r="I56" s="21"/>
      <c r="J56" s="21"/>
      <c r="K56" s="21"/>
      <c r="Q56" s="21"/>
      <c r="R56" s="21"/>
      <c r="S56" s="21"/>
      <c r="T56" s="21"/>
      <c r="U56" s="21"/>
      <c r="V56" s="21"/>
      <c r="W56" s="21"/>
      <c r="X56" s="21"/>
      <c r="Y56" s="21"/>
      <c r="Z56" s="21"/>
    </row>
    <row r="57" spans="1:26" ht="12" customHeight="1">
      <c r="A57" s="29" t="str">
        <f>IF($B$2="BG","Приел:","Executed by:")</f>
        <v>Приел:</v>
      </c>
      <c r="B57" s="113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</row>
    <row r="58" spans="1:25" ht="12" customHeight="1">
      <c r="A58" s="29"/>
      <c r="B58" s="113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</row>
    <row r="59" spans="1:28" ht="12" customHeight="1">
      <c r="A59" s="29"/>
      <c r="B59" s="113"/>
      <c r="AA59" s="21"/>
      <c r="AB59" s="21"/>
    </row>
    <row r="60" ht="12" customHeight="1">
      <c r="B60" s="113"/>
    </row>
    <row r="61" spans="1:2" ht="12" customHeight="1">
      <c r="A61" s="29" t="str">
        <f>IF($B$2="BG","Светла Цветкова:","Tsvetkova Svetla:")</f>
        <v>Светла Цветкова:</v>
      </c>
      <c r="B61" s="113"/>
    </row>
    <row r="62" spans="1:2" ht="12" customHeight="1">
      <c r="A62" s="29" t="str">
        <f>IF($B$2="BG","Трафик Експерт:","Traffik Expert:")</f>
        <v>Трафик Експерт:</v>
      </c>
      <c r="B62" s="113"/>
    </row>
    <row r="63" spans="1:6" ht="12" customHeight="1">
      <c r="A63" s="29"/>
      <c r="B63" s="113"/>
      <c r="C63" s="29" t="str">
        <f>IF($B$2="BG","Заявил:","Requested by:")</f>
        <v>Заявил:</v>
      </c>
      <c r="D63" s="29"/>
      <c r="E63" s="113"/>
      <c r="F63" s="29"/>
    </row>
    <row r="64" spans="1:22" ht="13.5" customHeight="1">
      <c r="A64" s="29"/>
      <c r="B64" s="113"/>
      <c r="C64" s="29"/>
      <c r="D64" s="29"/>
      <c r="E64" s="113"/>
      <c r="F64" s="29"/>
      <c r="V64" s="30" t="s">
        <v>31</v>
      </c>
    </row>
    <row r="65" spans="2:22" ht="13.5" customHeight="1">
      <c r="B65" s="113"/>
      <c r="C65" s="29"/>
      <c r="D65" s="29"/>
      <c r="E65" s="113"/>
      <c r="F65" s="29"/>
      <c r="V65" s="30"/>
    </row>
    <row r="66" spans="1:22" ht="13.5" customHeight="1">
      <c r="A66" s="29" t="str">
        <f>IF($B$2="BG","Станислав Пенович:","Penovich Stanislav:")</f>
        <v>Станислав Пенович:</v>
      </c>
      <c r="B66" s="113"/>
      <c r="E66" s="113"/>
      <c r="V66" s="30"/>
    </row>
    <row r="67" spans="1:5" ht="13.5" customHeight="1">
      <c r="A67" s="29" t="str">
        <f>IF($B$2="BG","Директор  Маркетинг и комуникации:","CEO Marketing and Communication:")</f>
        <v>Директор  Маркетинг и комуникации:</v>
      </c>
      <c r="B67" s="113"/>
      <c r="D67" s="29"/>
      <c r="E67" s="113"/>
    </row>
    <row r="68" spans="4:5" ht="13.5" customHeight="1">
      <c r="D68" s="29"/>
      <c r="E68" s="113"/>
    </row>
    <row r="69" spans="2:5" ht="13.5" customHeight="1">
      <c r="B69" s="29"/>
      <c r="D69" s="29"/>
      <c r="E69" s="113"/>
    </row>
    <row r="70" spans="2:5" ht="13.5" customHeight="1">
      <c r="B70" s="29"/>
      <c r="D70" s="29"/>
      <c r="E70" s="113"/>
    </row>
    <row r="71" ht="13.5" customHeight="1">
      <c r="E71" s="113"/>
    </row>
    <row r="72" ht="13.5" customHeight="1">
      <c r="E72" s="113"/>
    </row>
    <row r="73" spans="4:5" ht="13.5" customHeight="1">
      <c r="D73" s="29"/>
      <c r="E73" s="113"/>
    </row>
    <row r="74" ht="13.5" customHeight="1"/>
    <row r="75" ht="13.5" customHeight="1"/>
  </sheetData>
  <sheetProtection/>
  <protectedRanges>
    <protectedRange sqref="A6" name="Range1"/>
    <protectedRange sqref="A7" name="Range1_1"/>
    <protectedRange sqref="A8" name="Range1_2"/>
    <protectedRange sqref="A9" name="Range1_3"/>
    <protectedRange sqref="A10" name="Range1_4"/>
    <protectedRange sqref="A11" name="Range1_5"/>
    <protectedRange sqref="A57:B65 B66:B67 C63:F73 A66" name="Range7"/>
    <protectedRange sqref="A67" name="Range7_1"/>
  </protectedRanges>
  <autoFilter ref="A12:BL12"/>
  <mergeCells count="32">
    <mergeCell ref="AJ44:AP44"/>
    <mergeCell ref="AQ44:AW44"/>
    <mergeCell ref="A45:A46"/>
    <mergeCell ref="A1:I1"/>
    <mergeCell ref="C11:D11"/>
    <mergeCell ref="AX43:BD43"/>
    <mergeCell ref="AX44:BD44"/>
    <mergeCell ref="C3:D3"/>
    <mergeCell ref="C4:D4"/>
    <mergeCell ref="C5:D5"/>
    <mergeCell ref="C6:D6"/>
    <mergeCell ref="C7:D7"/>
    <mergeCell ref="AC44:AI44"/>
    <mergeCell ref="H44:J44"/>
    <mergeCell ref="Z44:AB44"/>
    <mergeCell ref="I48:I49"/>
    <mergeCell ref="C48:C49"/>
    <mergeCell ref="D48:D49"/>
    <mergeCell ref="E48:E49"/>
    <mergeCell ref="F48:F49"/>
    <mergeCell ref="G48:G49"/>
    <mergeCell ref="H48:H49"/>
    <mergeCell ref="C8:D8"/>
    <mergeCell ref="C9:D9"/>
    <mergeCell ref="C10:D10"/>
    <mergeCell ref="C46:I47"/>
    <mergeCell ref="Z11:BD11"/>
    <mergeCell ref="Z43:AB43"/>
    <mergeCell ref="AC43:AI43"/>
    <mergeCell ref="AJ43:AP43"/>
    <mergeCell ref="AQ43:AW43"/>
    <mergeCell ref="I43:J43"/>
  </mergeCells>
  <conditionalFormatting sqref="V64:V66 A1">
    <cfRule type="cellIs" priority="499" dxfId="2" operator="equal" stopIfTrue="1">
      <formula>0</formula>
    </cfRule>
  </conditionalFormatting>
  <conditionalFormatting sqref="A57:A59 D63:D65 A61:A65 D67:D71">
    <cfRule type="cellIs" priority="400" dxfId="2" operator="equal" stopIfTrue="1">
      <formula>0</formula>
    </cfRule>
  </conditionalFormatting>
  <conditionalFormatting sqref="D73">
    <cfRule type="cellIs" priority="399" dxfId="2" operator="equal" stopIfTrue="1">
      <formula>0</formula>
    </cfRule>
  </conditionalFormatting>
  <conditionalFormatting sqref="C63:C65 F63:F65">
    <cfRule type="cellIs" priority="398" dxfId="2" operator="equal" stopIfTrue="1">
      <formula>0</formula>
    </cfRule>
  </conditionalFormatting>
  <conditionalFormatting sqref="A67">
    <cfRule type="cellIs" priority="19" dxfId="2" operator="equal" stopIfTrue="1">
      <formula>0</formula>
    </cfRule>
  </conditionalFormatting>
  <conditionalFormatting sqref="Z13:BD41">
    <cfRule type="cellIs" priority="11" dxfId="35" operator="equal" stopIfTrue="1">
      <formula>"G"</formula>
    </cfRule>
    <cfRule type="cellIs" priority="12" dxfId="35" operator="equal" stopIfTrue="1">
      <formula>"H"</formula>
    </cfRule>
    <cfRule type="cellIs" priority="13" dxfId="6" operator="equal" stopIfTrue="1">
      <formula>"F"</formula>
    </cfRule>
    <cfRule type="cellIs" priority="14" dxfId="5" operator="equal" stopIfTrue="1">
      <formula>"E"</formula>
    </cfRule>
    <cfRule type="cellIs" priority="15" dxfId="4" operator="equal" stopIfTrue="1">
      <formula>"D"</formula>
    </cfRule>
    <cfRule type="cellIs" priority="16" dxfId="10" operator="equal" stopIfTrue="1">
      <formula>"C"</formula>
    </cfRule>
    <cfRule type="cellIs" priority="17" dxfId="0" operator="equal" stopIfTrue="1">
      <formula>"B"</formula>
    </cfRule>
    <cfRule type="cellIs" priority="18" dxfId="1" operator="equal" stopIfTrue="1">
      <formula>"A"</formula>
    </cfRule>
  </conditionalFormatting>
  <conditionalFormatting sqref="E5">
    <cfRule type="cellIs" priority="9" dxfId="0" operator="equal" stopIfTrue="1">
      <formula>"B"</formula>
    </cfRule>
  </conditionalFormatting>
  <conditionalFormatting sqref="E6">
    <cfRule type="cellIs" priority="8" dxfId="10" operator="equal" stopIfTrue="1">
      <formula>"C"</formula>
    </cfRule>
  </conditionalFormatting>
  <conditionalFormatting sqref="E7">
    <cfRule type="cellIs" priority="7" dxfId="4" operator="equal" stopIfTrue="1">
      <formula>"D"</formula>
    </cfRule>
  </conditionalFormatting>
  <conditionalFormatting sqref="E8">
    <cfRule type="cellIs" priority="6" dxfId="5" operator="equal" stopIfTrue="1">
      <formula>"E"</formula>
    </cfRule>
  </conditionalFormatting>
  <conditionalFormatting sqref="E9">
    <cfRule type="cellIs" priority="5" dxfId="6" operator="equal" stopIfTrue="1">
      <formula>"F"</formula>
    </cfRule>
  </conditionalFormatting>
  <conditionalFormatting sqref="E10">
    <cfRule type="cellIs" priority="4" dxfId="35" operator="equal" stopIfTrue="1">
      <formula>"G"</formula>
    </cfRule>
  </conditionalFormatting>
  <conditionalFormatting sqref="A66">
    <cfRule type="cellIs" priority="3" dxfId="2" operator="equal" stopIfTrue="1">
      <formula>0</formula>
    </cfRule>
  </conditionalFormatting>
  <conditionalFormatting sqref="E4">
    <cfRule type="cellIs" priority="1" dxfId="1" operator="equal" stopIfTrue="1">
      <formula>"A"</formula>
    </cfRule>
    <cfRule type="cellIs" priority="2" dxfId="0" operator="equal" stopIfTrue="1">
      <formula>"B"</formula>
    </cfRule>
  </conditionalFormatting>
  <dataValidations count="12">
    <dataValidation type="list" allowBlank="1" showInputMessage="1" showErrorMessage="1" sqref="G13:G41">
      <formula1>reklama9</formula1>
    </dataValidation>
    <dataValidation type="list" showInputMessage="1" showErrorMessage="1" sqref="BF13:BG41">
      <formula1>percent1</formula1>
    </dataValidation>
    <dataValidation showInputMessage="1" showErrorMessage="1" sqref="BK13:BL41"/>
    <dataValidation type="list" showInputMessage="1" showErrorMessage="1" sqref="BE13:BE41">
      <formula1>Positions2</formula1>
    </dataValidation>
    <dataValidation type="list" showDropDown="1" showInputMessage="1" showErrorMessage="1" sqref="Z13:BD41">
      <formula1>codes3</formula1>
    </dataValidation>
    <dataValidation type="list" allowBlank="1" showInputMessage="1" showErrorMessage="1" sqref="G42">
      <formula1>Reklama</formula1>
    </dataValidation>
    <dataValidation type="list" allowBlank="1" showInputMessage="1" showErrorMessage="1" sqref="F4:F10">
      <formula1>duration3</formula1>
    </dataValidation>
    <dataValidation allowBlank="1" showInputMessage="1" showErrorMessage="1" sqref="B48"/>
    <dataValidation type="list" allowBlank="1" showInputMessage="1" showErrorMessage="1" sqref="D13:D41">
      <formula1>time7</formula1>
    </dataValidation>
    <dataValidation type="list" allowBlank="1" showInputMessage="1" showErrorMessage="1" sqref="B2:B3">
      <formula1>$AE$3:$AE$4</formula1>
    </dataValidation>
    <dataValidation type="list" allowBlank="1" showInputMessage="1" showErrorMessage="1" sqref="I4:I10">
      <formula1>"Да/Yes"</formula1>
    </dataValidation>
    <dataValidation type="list" allowBlank="1" showInputMessage="1" showErrorMessage="1" sqref="C13:C41">
      <formula1>"mon-sun"</formula1>
    </dataValidation>
  </dataValidations>
  <printOptions/>
  <pageMargins left="0.18" right="0.15748031496062992" top="0.25" bottom="0.49" header="0.24" footer="0.5118110236220472"/>
  <pageSetup fitToHeight="0" fitToWidth="1" horizontalDpi="600" verticalDpi="600" orientation="landscape" paperSize="9" scale="39" r:id="rId4"/>
  <ignoredErrors>
    <ignoredError sqref="E13:E41 F13:F41 I51 BK13 BK14:BK41" emptyCellReference="1"/>
    <ignoredError sqref="BI42:BL42 Z45:BD45 H43 I44:J44 J42:J43 H44 I43 A65 A60:B61 B65:B67 A57:B57 A68:B68 C63 A4:A11 A12:J12 E3 H42:I42 BE12:BL12 C48:I49 C54 C46 Z43 C66:C68 C71:C74 L42:X42 C50:C53 A62:B62 A45:B55 AC43:AX43 BS13 AY44:BA44 AR44:AW44 AK44:AP44 AD44:AI44 Z44:AC44 AJ44 AQ44 AX44 BS42 BN44:BS44 Z11 A1 BS14:BS41 BS43 BN43:BR43 BO14:BQ41 BN42:BR42 BN13:BQ13 BN14:BN41 BR13 BR14:BR41 F3:I3 C3 E4:E10 G4:G10 H4 H5:H10 A66:A67 Y13 Y14:Y41 N13 N14:N41 P13 P14:P41 R13 R14:R41 T13 T14:T41 V13 V14:V41 X13 X14:X41 L13 L14:L41 K13 K14:K41 M14:M41 M13 W14:W41 W13 U14:U41 U13 S14:S41 S13 Q14:Q41 Q13 O14:O41 O13" unlockedFormula="1"/>
    <ignoredError sqref="AB42:BD42 Z42:AA42" emptyCellReference="1" formulaRange="1" unlockedFormula="1"/>
  </ignoredError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8BCA36"/>
    <pageSetUpPr fitToPage="1"/>
  </sheetPr>
  <dimension ref="A1:BQ58"/>
  <sheetViews>
    <sheetView showGridLines="0" zoomScale="85" zoomScaleNormal="85" zoomScalePageLayoutView="85" workbookViewId="0" topLeftCell="A1">
      <selection activeCell="F4" sqref="F4"/>
    </sheetView>
  </sheetViews>
  <sheetFormatPr defaultColWidth="9.140625" defaultRowHeight="12.75"/>
  <cols>
    <col min="1" max="1" width="44.7109375" style="31" customWidth="1"/>
    <col min="2" max="2" width="18.140625" style="31" customWidth="1"/>
    <col min="3" max="3" width="16.28125" style="31" customWidth="1"/>
    <col min="4" max="4" width="12.57421875" style="31" customWidth="1"/>
    <col min="5" max="5" width="12.8515625" style="31" customWidth="1"/>
    <col min="6" max="6" width="9.421875" style="31" customWidth="1"/>
    <col min="7" max="7" width="12.8515625" style="31" customWidth="1"/>
    <col min="8" max="8" width="9.8515625" style="31" customWidth="1"/>
    <col min="9" max="9" width="8.00390625" style="31" customWidth="1"/>
    <col min="10" max="10" width="11.8515625" style="31" customWidth="1"/>
    <col min="11" max="14" width="7.140625" style="31" hidden="1" customWidth="1"/>
    <col min="15" max="15" width="6.421875" style="31" hidden="1" customWidth="1"/>
    <col min="16" max="18" width="7.140625" style="31" hidden="1" customWidth="1"/>
    <col min="19" max="19" width="6.57421875" style="31" hidden="1" customWidth="1"/>
    <col min="20" max="20" width="7.140625" style="31" hidden="1" customWidth="1"/>
    <col min="21" max="21" width="6.57421875" style="31" hidden="1" customWidth="1"/>
    <col min="22" max="23" width="7.140625" style="31" hidden="1" customWidth="1"/>
    <col min="24" max="54" width="3.8515625" style="31" customWidth="1"/>
    <col min="55" max="55" width="14.28125" style="31" customWidth="1"/>
    <col min="56" max="56" width="13.140625" style="31" hidden="1" customWidth="1"/>
    <col min="57" max="57" width="13.140625" style="31" customWidth="1"/>
    <col min="58" max="58" width="14.7109375" style="31" customWidth="1"/>
    <col min="59" max="59" width="13.57421875" style="31" customWidth="1"/>
    <col min="60" max="60" width="12.00390625" style="31" customWidth="1"/>
    <col min="61" max="61" width="12.8515625" style="31" customWidth="1"/>
    <col min="62" max="62" width="11.140625" style="31" customWidth="1"/>
    <col min="63" max="63" width="9.140625" style="31" hidden="1" customWidth="1"/>
    <col min="64" max="64" width="9.8515625" style="31" hidden="1" customWidth="1"/>
    <col min="65" max="65" width="12.8515625" style="31" hidden="1" customWidth="1"/>
    <col min="66" max="68" width="9.28125" style="31" hidden="1" customWidth="1"/>
    <col min="69" max="69" width="9.140625" style="31" hidden="1" customWidth="1"/>
    <col min="70" max="70" width="9.28125" style="31" customWidth="1"/>
    <col min="71" max="83" width="9.140625" style="31" customWidth="1"/>
    <col min="84" max="16384" width="9.140625" style="31" customWidth="1"/>
  </cols>
  <sheetData>
    <row r="1" spans="1:26" ht="57.75" customHeight="1">
      <c r="A1" s="285" t="str">
        <f>IF($B$2="BG","Фиксирани цени за месец МАРТ 2019","Fixed Prices MARCH 2019")</f>
        <v>Фиксирани цени за месец МАРТ 2019</v>
      </c>
      <c r="B1" s="285"/>
      <c r="C1" s="285"/>
      <c r="D1" s="285"/>
      <c r="E1" s="285"/>
      <c r="F1" s="285"/>
      <c r="G1" s="285"/>
      <c r="H1" s="285"/>
      <c r="I1" s="28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  <c r="W1" s="235"/>
      <c r="X1" s="235"/>
      <c r="Y1" s="235"/>
      <c r="Z1" s="235"/>
    </row>
    <row r="2" spans="1:27" ht="17.25" customHeight="1">
      <c r="A2" s="148" t="s">
        <v>70</v>
      </c>
      <c r="B2" s="149" t="s">
        <v>72</v>
      </c>
      <c r="C2" s="127"/>
      <c r="D2" s="110"/>
      <c r="E2" s="110"/>
      <c r="F2" s="110"/>
      <c r="G2" s="110"/>
      <c r="H2" s="110"/>
      <c r="I2" s="110"/>
      <c r="J2" s="235"/>
      <c r="K2" s="235"/>
      <c r="L2" s="235"/>
      <c r="M2" s="235"/>
      <c r="N2" s="235"/>
      <c r="O2" s="235"/>
      <c r="P2" s="235"/>
      <c r="Q2" s="235"/>
      <c r="R2" s="235"/>
      <c r="S2" s="235"/>
      <c r="T2" s="235"/>
      <c r="U2" s="235"/>
      <c r="V2" s="235"/>
      <c r="W2" s="235"/>
      <c r="X2" s="235"/>
      <c r="Y2" s="235"/>
      <c r="Z2" s="235"/>
      <c r="AA2" s="51"/>
    </row>
    <row r="3" spans="1:31" ht="25.5" customHeight="1">
      <c r="A3" s="149"/>
      <c r="B3" s="149"/>
      <c r="C3" s="284" t="str">
        <f>IF($B$2="BG","Име на клип","Name ot spot")</f>
        <v>Име на клип</v>
      </c>
      <c r="D3" s="284"/>
      <c r="E3" s="224" t="str">
        <f>IF($B$2="BG","Код","Code")</f>
        <v>Код</v>
      </c>
      <c r="F3" s="224" t="str">
        <f>IF($B$2="BG","Секунди","Secоnds")</f>
        <v>Секунди</v>
      </c>
      <c r="G3" s="224" t="str">
        <f>IF($B$2="BG","Коефициент 30 сек.","Coefficient to 30 sec.")</f>
        <v>Коефициент 30 сек.</v>
      </c>
      <c r="H3" s="224" t="str">
        <f>IF($B$2="BG","Брой","Count")</f>
        <v>Брой</v>
      </c>
      <c r="I3" s="224" t="str">
        <f>IF($B$2="BG","Бонус/
Компенс.","Bonus/
Compens.")</f>
        <v>Бонус/
Компенс.</v>
      </c>
      <c r="J3" s="235"/>
      <c r="K3" s="235"/>
      <c r="L3" s="235"/>
      <c r="M3" s="235"/>
      <c r="N3" s="235"/>
      <c r="O3" s="235"/>
      <c r="P3" s="235"/>
      <c r="Q3" s="235"/>
      <c r="R3" s="235"/>
      <c r="S3" s="235"/>
      <c r="T3" s="235"/>
      <c r="U3" s="235"/>
      <c r="V3" s="235"/>
      <c r="W3" s="235"/>
      <c r="X3" s="235"/>
      <c r="Y3" s="235"/>
      <c r="Z3" s="235"/>
      <c r="AE3" s="117" t="s">
        <v>72</v>
      </c>
    </row>
    <row r="4" spans="1:31" ht="12" customHeight="1">
      <c r="A4" s="34" t="str">
        <f>IF($B$2="BG","Агенция","Agency")</f>
        <v>Агенция</v>
      </c>
      <c r="B4" s="32"/>
      <c r="C4" s="273"/>
      <c r="D4" s="274"/>
      <c r="E4" s="205" t="str">
        <f>IF(F4&lt;&gt;"","A","-")</f>
        <v>-</v>
      </c>
      <c r="F4" s="236"/>
      <c r="G4" s="237">
        <f>IF(F4="",0,VLOOKUP(F4,data!$B$17:$C$102,2,FALSE))</f>
        <v>0</v>
      </c>
      <c r="H4" s="236" t="b">
        <f aca="true" t="shared" si="0" ref="H4:H9">IF(F4&gt;0,(COUNTIF($X$12:$BB$31,E4)))</f>
        <v>0</v>
      </c>
      <c r="I4" s="236"/>
      <c r="J4" s="235"/>
      <c r="K4" s="235"/>
      <c r="L4" s="235"/>
      <c r="M4" s="235"/>
      <c r="N4" s="235"/>
      <c r="O4" s="235"/>
      <c r="P4" s="235"/>
      <c r="Q4" s="235"/>
      <c r="R4" s="235"/>
      <c r="S4" s="235"/>
      <c r="T4" s="235"/>
      <c r="U4" s="235"/>
      <c r="V4" s="235"/>
      <c r="W4" s="235"/>
      <c r="X4" s="235"/>
      <c r="Y4" s="235"/>
      <c r="Z4" s="235"/>
      <c r="AE4" s="117" t="s">
        <v>71</v>
      </c>
    </row>
    <row r="5" spans="1:26" ht="12" customHeight="1">
      <c r="A5" s="34" t="str">
        <f>IF($B$2="BG","Лице за контакт","Contact person")</f>
        <v>Лице за контакт</v>
      </c>
      <c r="B5" s="32"/>
      <c r="C5" s="273"/>
      <c r="D5" s="274"/>
      <c r="E5" s="205" t="str">
        <f>IF(F5&lt;&gt;"","B","-")</f>
        <v>-</v>
      </c>
      <c r="F5" s="236"/>
      <c r="G5" s="237">
        <f>IF(F5="",0,VLOOKUP(F5,data!$B$17:$C$102,2,FALSE))</f>
        <v>0</v>
      </c>
      <c r="H5" s="236" t="b">
        <f t="shared" si="0"/>
        <v>0</v>
      </c>
      <c r="I5" s="236"/>
      <c r="J5" s="235"/>
      <c r="K5" s="235"/>
      <c r="L5" s="235"/>
      <c r="M5" s="235"/>
      <c r="N5" s="235"/>
      <c r="O5" s="235"/>
      <c r="P5" s="235"/>
      <c r="Q5" s="235"/>
      <c r="R5" s="235"/>
      <c r="S5" s="235"/>
      <c r="T5" s="235"/>
      <c r="U5" s="235"/>
      <c r="V5" s="235"/>
      <c r="W5" s="235"/>
      <c r="X5" s="235"/>
      <c r="Y5" s="235"/>
      <c r="Z5" s="235"/>
    </row>
    <row r="6" spans="1:26" ht="12" customHeight="1">
      <c r="A6" s="34" t="str">
        <f>IF($B$2="BG","Входящ №","Reference №")</f>
        <v>Входящ №</v>
      </c>
      <c r="B6" s="32"/>
      <c r="C6" s="273"/>
      <c r="D6" s="274"/>
      <c r="E6" s="205" t="str">
        <f>IF(F6&lt;&gt;"","C","-")</f>
        <v>-</v>
      </c>
      <c r="F6" s="236"/>
      <c r="G6" s="237">
        <f>IF(F6="",0,VLOOKUP(F6,data!$B$17:$C$102,2,FALSE))</f>
        <v>0</v>
      </c>
      <c r="H6" s="236" t="b">
        <f t="shared" si="0"/>
        <v>0</v>
      </c>
      <c r="I6" s="236"/>
      <c r="J6" s="235"/>
      <c r="K6" s="235"/>
      <c r="L6" s="235"/>
      <c r="M6" s="235"/>
      <c r="N6" s="235"/>
      <c r="O6" s="235"/>
      <c r="P6" s="235"/>
      <c r="Q6" s="235"/>
      <c r="R6" s="235"/>
      <c r="S6" s="235"/>
      <c r="T6" s="235"/>
      <c r="U6" s="235"/>
      <c r="V6" s="235"/>
      <c r="W6" s="235"/>
      <c r="X6" s="235"/>
      <c r="Y6" s="235"/>
      <c r="Z6" s="235"/>
    </row>
    <row r="7" spans="1:26" ht="12" customHeight="1">
      <c r="A7" s="34" t="str">
        <f>IF($B$2="BG","Кампания","Campaign")</f>
        <v>Кампания</v>
      </c>
      <c r="B7" s="32"/>
      <c r="C7" s="273"/>
      <c r="D7" s="274"/>
      <c r="E7" s="238" t="str">
        <f>IF(F7&lt;&gt;"","D","-")</f>
        <v>-</v>
      </c>
      <c r="F7" s="236"/>
      <c r="G7" s="237">
        <f>IF(F7="",0,VLOOKUP(F7,data!$B$17:$C$102,2,FALSE))</f>
        <v>0</v>
      </c>
      <c r="H7" s="236" t="b">
        <f t="shared" si="0"/>
        <v>0</v>
      </c>
      <c r="I7" s="236"/>
      <c r="J7" s="235"/>
      <c r="K7" s="235"/>
      <c r="L7" s="235"/>
      <c r="M7" s="235"/>
      <c r="N7" s="235"/>
      <c r="O7" s="235"/>
      <c r="P7" s="235"/>
      <c r="Q7" s="235"/>
      <c r="R7" s="235"/>
      <c r="S7" s="235"/>
      <c r="T7" s="235"/>
      <c r="U7" s="235"/>
      <c r="V7" s="235"/>
      <c r="W7" s="235"/>
      <c r="X7" s="235"/>
      <c r="Y7" s="235"/>
      <c r="Z7" s="235"/>
    </row>
    <row r="8" spans="1:26" ht="12" customHeight="1">
      <c r="A8" s="34" t="str">
        <f>IF($B$2="BG","Клиент","Client")</f>
        <v>Клиент</v>
      </c>
      <c r="B8" s="32"/>
      <c r="C8" s="273"/>
      <c r="D8" s="274"/>
      <c r="E8" s="238" t="str">
        <f>IF(F8&lt;&gt;"","E","-")</f>
        <v>-</v>
      </c>
      <c r="F8" s="236"/>
      <c r="G8" s="237">
        <f>IF(F8="",0,VLOOKUP(F8,data!$B$17:$C$102,2,FALSE))</f>
        <v>0</v>
      </c>
      <c r="H8" s="236" t="b">
        <f t="shared" si="0"/>
        <v>0</v>
      </c>
      <c r="I8" s="236"/>
      <c r="J8" s="235"/>
      <c r="K8" s="235"/>
      <c r="L8" s="235"/>
      <c r="M8" s="235"/>
      <c r="N8" s="235"/>
      <c r="O8" s="235"/>
      <c r="P8" s="235"/>
      <c r="Q8" s="235"/>
      <c r="R8" s="235"/>
      <c r="S8" s="235"/>
      <c r="T8" s="235"/>
      <c r="U8" s="235"/>
      <c r="V8" s="235"/>
      <c r="W8" s="235"/>
      <c r="X8" s="235"/>
      <c r="Y8" s="235"/>
      <c r="Z8" s="235"/>
    </row>
    <row r="9" spans="1:26" ht="12" customHeight="1">
      <c r="A9" s="34" t="str">
        <f>IF($B$2="BG","Период","Period")</f>
        <v>Период</v>
      </c>
      <c r="B9" s="32"/>
      <c r="C9" s="273"/>
      <c r="D9" s="274"/>
      <c r="E9" s="238" t="str">
        <f>IF(F9&lt;&gt;"","F","-")</f>
        <v>-</v>
      </c>
      <c r="F9" s="236"/>
      <c r="G9" s="237">
        <f>IF(F9="",0,VLOOKUP(F9,data!$B$17:$C$102,2,FALSE))</f>
        <v>0</v>
      </c>
      <c r="H9" s="236" t="b">
        <f t="shared" si="0"/>
        <v>0</v>
      </c>
      <c r="I9" s="236"/>
      <c r="J9" s="235"/>
      <c r="K9" s="235"/>
      <c r="L9" s="235"/>
      <c r="M9" s="235"/>
      <c r="N9" s="235"/>
      <c r="O9" s="235"/>
      <c r="P9" s="235"/>
      <c r="Q9" s="235"/>
      <c r="R9" s="235"/>
      <c r="S9" s="235"/>
      <c r="T9" s="235"/>
      <c r="U9" s="235"/>
      <c r="V9" s="235"/>
      <c r="W9" s="235"/>
      <c r="X9" s="235"/>
      <c r="Y9" s="235"/>
      <c r="Z9" s="235"/>
    </row>
    <row r="10" spans="1:62" ht="18.75" customHeight="1">
      <c r="A10" s="34" t="str">
        <f>IF($B$2="BG","Решение УС","Bord decision №")</f>
        <v>Решение УС</v>
      </c>
      <c r="C10" s="36"/>
      <c r="D10" s="36"/>
      <c r="E10" s="36"/>
      <c r="F10" s="36"/>
      <c r="X10" s="292" t="str">
        <f>IF($B$2="BG","Март 2019","March 2019")</f>
        <v>Март 2019</v>
      </c>
      <c r="Y10" s="293"/>
      <c r="Z10" s="293"/>
      <c r="AA10" s="293"/>
      <c r="AB10" s="293"/>
      <c r="AC10" s="293"/>
      <c r="AD10" s="293"/>
      <c r="AE10" s="293"/>
      <c r="AF10" s="293"/>
      <c r="AG10" s="293"/>
      <c r="AH10" s="293"/>
      <c r="AI10" s="293"/>
      <c r="AJ10" s="293"/>
      <c r="AK10" s="293"/>
      <c r="AL10" s="293"/>
      <c r="AM10" s="293"/>
      <c r="AN10" s="293"/>
      <c r="AO10" s="293"/>
      <c r="AP10" s="293"/>
      <c r="AQ10" s="293"/>
      <c r="AR10" s="293"/>
      <c r="AS10" s="293"/>
      <c r="AT10" s="293"/>
      <c r="AU10" s="293"/>
      <c r="AV10" s="293"/>
      <c r="AW10" s="293"/>
      <c r="AX10" s="293"/>
      <c r="AY10" s="293"/>
      <c r="AZ10" s="293"/>
      <c r="BA10" s="293"/>
      <c r="BB10" s="294"/>
      <c r="BC10" s="36"/>
      <c r="BD10" s="36"/>
      <c r="BE10" s="36"/>
      <c r="BF10" s="36"/>
      <c r="BG10" s="36"/>
      <c r="BH10" s="36"/>
      <c r="BI10" s="36"/>
      <c r="BJ10" s="36"/>
    </row>
    <row r="11" spans="1:69" ht="49.5" customHeight="1">
      <c r="A11" s="149" t="str">
        <f>IF($B$2="BG","Бележки","Notice")</f>
        <v>Бележки</v>
      </c>
      <c r="B11" s="149" t="str">
        <f>IF($B$2="BG","Програма","Program")</f>
        <v>Програма</v>
      </c>
      <c r="C11" s="149" t="str">
        <f>IF($B$2="BG","Ден","Day")</f>
        <v>Ден</v>
      </c>
      <c r="D11" s="149" t="str">
        <f>IF($B$2="BG","Час","Time")</f>
        <v>Час</v>
      </c>
      <c r="E11" s="149" t="str">
        <f>IF($B$2="BG","Ключ","Key")</f>
        <v>Ключ</v>
      </c>
      <c r="F11" s="149" t="str">
        <f>IF($B$2="BG","Часова зона","Day part")</f>
        <v>Часова зона</v>
      </c>
      <c r="G11" s="149" t="str">
        <f>IF($B$2="BG","Рекламна форма","TVC Type")</f>
        <v>Рекламна форма</v>
      </c>
      <c r="H11" s="149" t="str">
        <f>IF($B$2="BG","Цена за клип 30 сек.","30 sec Price")</f>
        <v>Цена за клип 30 сек.</v>
      </c>
      <c r="I11" s="149" t="str">
        <f>IF($B$2="BG","Брой","Count")</f>
        <v>Брой</v>
      </c>
      <c r="J11" s="149" t="str">
        <f>IF($B$2="BG","Общо цена","Total")</f>
        <v>Общо цена</v>
      </c>
      <c r="K11" s="149" t="s">
        <v>18</v>
      </c>
      <c r="L11" s="149" t="s">
        <v>19</v>
      </c>
      <c r="M11" s="149" t="s">
        <v>20</v>
      </c>
      <c r="N11" s="149" t="s">
        <v>25</v>
      </c>
      <c r="O11" s="149" t="s">
        <v>21</v>
      </c>
      <c r="P11" s="149" t="s">
        <v>26</v>
      </c>
      <c r="Q11" s="149" t="s">
        <v>22</v>
      </c>
      <c r="R11" s="149" t="s">
        <v>27</v>
      </c>
      <c r="S11" s="149" t="s">
        <v>23</v>
      </c>
      <c r="T11" s="149" t="s">
        <v>28</v>
      </c>
      <c r="U11" s="149" t="s">
        <v>24</v>
      </c>
      <c r="V11" s="149" t="s">
        <v>29</v>
      </c>
      <c r="W11" s="149" t="s">
        <v>30</v>
      </c>
      <c r="X11" s="181">
        <v>1</v>
      </c>
      <c r="Y11" s="37">
        <v>2</v>
      </c>
      <c r="Z11" s="37">
        <v>3</v>
      </c>
      <c r="AA11" s="181">
        <v>4</v>
      </c>
      <c r="AB11" s="221">
        <v>5</v>
      </c>
      <c r="AC11" s="221">
        <v>6</v>
      </c>
      <c r="AD11" s="221">
        <v>7</v>
      </c>
      <c r="AE11" s="221">
        <v>8</v>
      </c>
      <c r="AF11" s="37">
        <v>9</v>
      </c>
      <c r="AG11" s="37">
        <v>10</v>
      </c>
      <c r="AH11" s="221">
        <v>11</v>
      </c>
      <c r="AI11" s="221">
        <v>12</v>
      </c>
      <c r="AJ11" s="221">
        <v>13</v>
      </c>
      <c r="AK11" s="221">
        <v>14</v>
      </c>
      <c r="AL11" s="221">
        <v>15</v>
      </c>
      <c r="AM11" s="37">
        <v>16</v>
      </c>
      <c r="AN11" s="37">
        <v>17</v>
      </c>
      <c r="AO11" s="221">
        <v>18</v>
      </c>
      <c r="AP11" s="221">
        <v>19</v>
      </c>
      <c r="AQ11" s="221">
        <v>20</v>
      </c>
      <c r="AR11" s="221">
        <v>21</v>
      </c>
      <c r="AS11" s="221">
        <v>22</v>
      </c>
      <c r="AT11" s="37">
        <v>23</v>
      </c>
      <c r="AU11" s="37">
        <v>24</v>
      </c>
      <c r="AV11" s="221">
        <v>25</v>
      </c>
      <c r="AW11" s="221">
        <v>26</v>
      </c>
      <c r="AX11" s="221">
        <v>27</v>
      </c>
      <c r="AY11" s="221">
        <v>28</v>
      </c>
      <c r="AZ11" s="181">
        <v>29</v>
      </c>
      <c r="BA11" s="37">
        <v>30</v>
      </c>
      <c r="BB11" s="37">
        <v>31</v>
      </c>
      <c r="BC11" s="151" t="str">
        <f>IF($B$2="BG","Утежнение за позиция в блок/две реклами в блок","Surcharge in the block/two ad unit")</f>
        <v>Утежнение за позиция в блок/две реклами в блок</v>
      </c>
      <c r="BD11" s="151" t="str">
        <f>IF($B$2="BG","Утежнение за съвместна реклама","Co-Ad surcharge")</f>
        <v>Утежнение за съвместна реклама</v>
      </c>
      <c r="BE11" s="151" t="s">
        <v>45</v>
      </c>
      <c r="BF11" s="151" t="str">
        <f>IF($B$2="BG","Цена за клип/СЗ/ПР без утежнения","Price for spot/ST/PR without surcharge")</f>
        <v>Цена за клип/СЗ/ПР без утежнения</v>
      </c>
      <c r="BG11" s="151" t="str">
        <f>IF($B$2="BG","Цена с утежнения за позиция и марка","Price with surcharge for Position and Brand")</f>
        <v>Цена с утежнения за позиция и марка</v>
      </c>
      <c r="BH11" s="151" t="str">
        <f>IF($B$2="BG","Утежнения за позиция и марка","Price surcharge for Position and Brand")</f>
        <v>Утежнения за позиция и марка</v>
      </c>
      <c r="BI11" s="151" t="str">
        <f>IF($B$2="BG","Утежнения закъснение","Surcharge for Delay")</f>
        <v>Утежнения закъснение</v>
      </c>
      <c r="BJ11" s="151" t="str">
        <f>IF($B$2="BG","Общо утежнение","Total Surcharge")</f>
        <v>Общо утежнение</v>
      </c>
      <c r="BL11" s="86" t="s">
        <v>0</v>
      </c>
      <c r="BM11" s="86" t="s">
        <v>1</v>
      </c>
      <c r="BN11" s="86" t="s">
        <v>2</v>
      </c>
      <c r="BO11" s="86" t="s">
        <v>3</v>
      </c>
      <c r="BP11" s="86" t="s">
        <v>4</v>
      </c>
      <c r="BQ11" s="86" t="s">
        <v>5</v>
      </c>
    </row>
    <row r="12" spans="1:69" ht="12.75" customHeight="1">
      <c r="A12" s="38"/>
      <c r="B12" s="39"/>
      <c r="C12" s="40"/>
      <c r="D12" s="41"/>
      <c r="E12" s="42">
        <f>IF(D12="","",ABS(LEFT(D12,2)))</f>
      </c>
      <c r="F12" s="42">
        <f>IF(D12="","",IF((E12&gt;=19)*(E12&lt;22),"PT","OPT"))</f>
      </c>
      <c r="G12" s="132"/>
      <c r="H12" s="43">
        <f>SUMIF(time100,D12,data!$L$16:$L$21)</f>
        <v>0</v>
      </c>
      <c r="I12" s="89">
        <f>COUNTA(X12:BB12)</f>
        <v>0</v>
      </c>
      <c r="J12" s="249">
        <f aca="true" t="shared" si="1" ref="J12:J31">IF(D12="",0,(K12*L12+M12*N12+O12*P12+Q12*R12+S12*T12+U12*V12)*W12)</f>
        <v>0</v>
      </c>
      <c r="K12" s="33" t="b">
        <f>IF($I$4="Да/Yes",0,IF(G12="Spons tag",H12/2,IF(G12="Spot",$G$4*H12,IF(G12="Paid report",H12*$G$4*1,IF(AND(G12="Cut-in",$G$4&lt;=10),H12*0.7,IF(G12="Break ID with VO 7+7",H12*1.2,IF(AND(G12="Spons promo",$G$4&lt;=10),H12/2,IF(G12="Break ID 7+7",H12))))))))</f>
        <v>0</v>
      </c>
      <c r="L12" s="35">
        <f>COUNTIF(X12:BB12,$E$4)</f>
        <v>0</v>
      </c>
      <c r="M12" s="33" t="b">
        <f>IF($I$5="Да/Yes",0,IF(G12="Spons tag",H12/2,IF(G12="Spot",$G$5*H12,IF(G12="Paid report",H12*$G$5*1,IF(AND(G12="Cut-in",$G$5&lt;=10),H12*0.7,IF(G12="Break ID with VO 7+7",H12*1.2,IF(AND(G12="Spons promo",$G$5&lt;=10),H12/2,IF(G12="Break ID 7+7",H12))))))))</f>
        <v>0</v>
      </c>
      <c r="N12" s="35">
        <f>COUNTIF(X12:BB12,$E$5)</f>
        <v>0</v>
      </c>
      <c r="O12" s="33" t="b">
        <f>IF($I$6="Да/Yes",0,IF(G12="Spons tag",H12/2,IF(G12="Spot",$G$6*H12,IF(G12="Paid report",H12*$G$6*1,IF(AND(G12="Cut-in",$G$6&lt;=10),H12*0.7,IF(G12="Break ID with VO 7+7",H12*1.2,IF(AND(G12="Spons promo",$G$6&lt;=10),H12/2,IF(G12="Break ID 7+7",H12))))))))</f>
        <v>0</v>
      </c>
      <c r="P12" s="35">
        <f>COUNTIF(X12:BB12,$E$6)</f>
        <v>0</v>
      </c>
      <c r="Q12" s="33" t="b">
        <f>IF($I$7="Да/Yes",0,IF(G12="Spons tag",H12/2,IF(G12="Spot",$G$7*H12,IF(G12="Paid report",H12*$G$7*1,IF(AND(G12="Cut-in",$G$7&lt;=10),H12*0.7,IF(G12="Break ID with VO 7+7",H12*1.2,IF(AND(G12="Spons promo",$G$7&lt;=10),H12/2,IF(G12="Break ID 7+7",H12))))))))</f>
        <v>0</v>
      </c>
      <c r="R12" s="35">
        <f>COUNTIF(X12:BB12,$E$7)</f>
        <v>0</v>
      </c>
      <c r="S12" s="33" t="b">
        <f>IF($I$8="Да/Yes",0,IF(G12="Spons tag",H12/2,IF(G12="Spot",$G$8*H12,IF(G12="Paid report",H12*$G$8*1,IF(AND(G12="Cut-in",$G$8&lt;=10),H12*0.7,IF(G12="Break ID with VO 7+7",H12*1.2,IF(AND(G12="Spons promo",$G$8&lt;=10),H12/2,IF(G12="Break ID 7+7",H12))))))))</f>
        <v>0</v>
      </c>
      <c r="T12" s="35">
        <f>COUNTIF(X12:BB12,$E$8)</f>
        <v>0</v>
      </c>
      <c r="U12" s="33" t="b">
        <f>IF($I$9="Да/Yes",0,IF(G12="Spons tag",H12/2,IF(G12="Spot",$G$9*H12,IF(G12="Paid report",H12*$G$9*1,IF(AND(G12="Cut-in",$G$9&lt;=10),H12*0.7,IF(G12="Break ID with VO 7+7",H12*1.2,IF(AND(G12="Spons promo",$G$9&lt;=10),H12/2,IF(G12="Break ID 7+7",H12))))))))</f>
        <v>0</v>
      </c>
      <c r="V12" s="35">
        <f>COUNTIF(X12:BB12,$E$9)</f>
        <v>0</v>
      </c>
      <c r="W12" s="35">
        <f>IF(BC12="",1,VLOOKUP(BC12,data!$C$3:$D$10,2,FALSE))*(1+BD12)</f>
        <v>1</v>
      </c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38"/>
      <c r="BD12" s="44"/>
      <c r="BE12" s="44"/>
      <c r="BF12" s="43">
        <f aca="true" t="shared" si="2" ref="BF12:BF31">IF(I12=0,0,(K12*L12+M12*N12+O12*P12+Q12*R12+S12*T12+U12*V12)/I12)</f>
        <v>0</v>
      </c>
      <c r="BG12" s="43">
        <f aca="true" t="shared" si="3" ref="BG12:BG31">IF(I12=0,0,J12/I12)</f>
        <v>0</v>
      </c>
      <c r="BH12" s="43">
        <f aca="true" t="shared" si="4" ref="BH12:BH31">IF((BG12-BF12)&gt;0,(BG12-BF12)*I12,0)</f>
        <v>0</v>
      </c>
      <c r="BI12" s="43">
        <f>BE12*BG12</f>
        <v>0</v>
      </c>
      <c r="BJ12" s="43">
        <f>BH12+BI12</f>
        <v>0</v>
      </c>
      <c r="BL12" s="45">
        <f>((COUNTIF(X12:Z12,"A")*K12)+(COUNTIF(X12:Z12,"B")*M12)+(COUNTIF(X12:Z12,"C")*O12)+(COUNTIF(X12:Z12,"D")*Q12)+(COUNTIF(X12:Z12,"E")*S12)+(COUNTIF(X12:Z12,"F")*U12))*W12</f>
        <v>0</v>
      </c>
      <c r="BM12" s="45">
        <f>((COUNTIF(AA12:AG12,"A")*K12)+(COUNTIF(AA12:AG12,"B")*M12)+(COUNTIF(AA12:AG12,"C")*O12)+(COUNTIF(AA12:AG12,"D")*Q12)+(COUNTIF(AA12:AG12,"E")*S12)+(COUNTIF(AA12:AG12,"F")*U12))*W12</f>
        <v>0</v>
      </c>
      <c r="BN12" s="45">
        <f>((COUNTIF(AH12:AN12,"A")*K12)+(COUNTIF(AH12:AN12,"B")*M12)+(COUNTIF(AH12:AN12,"C")*O12)+(COUNTIF(AH12:AN12,"D")*Q12)+(COUNTIF(AH12:AN12,"E")*S12)++(COUNTIF(AH12:AN12,"F")*U12))*W12</f>
        <v>0</v>
      </c>
      <c r="BO12" s="45">
        <f>((COUNTIF(AO12:AU12,"A")*K12)+(COUNTIF(AO12:AU12,"B")*M12)+(COUNTIF(AO12:AU12,"C")*O12)+(COUNTIF(AO12:AU12,"D")*Q12)+(COUNTIF(AO12:AU12,"E")*S12)++(COUNTIF(AO12:AU12,"F")*U12))*W12</f>
        <v>0</v>
      </c>
      <c r="BP12" s="45">
        <f>((COUNTIF(AV12:BB12,"A")*K12)+(COUNTIF(AV12:BB12,"B")*M12)+(COUNTIF(AV12:BB12,"C")*O12)+(COUNTIF(AV12:BB12,"D")*Q12)+(COUNTIF(AV12:BB12,"E")*S12)+(COUNTIF(AV12:BB12,"F")*U12))*W12</f>
        <v>0</v>
      </c>
      <c r="BQ12" s="45">
        <f aca="true" t="shared" si="5" ref="BQ12:BQ31">((COUNTIF(BB12,"A")*K12)+(COUNTIF(BB12,"B")*M12)+(COUNTIF(BB12,"C")*O12)+(COUNTIF(BB12,"D")*Q12)+(COUNTIF(BB12,"E")*S12)+(COUNTIF(BB12,"F")*U12))*W12</f>
        <v>0</v>
      </c>
    </row>
    <row r="13" spans="1:69" ht="12.75" customHeight="1">
      <c r="A13" s="38"/>
      <c r="B13" s="39"/>
      <c r="C13" s="40"/>
      <c r="D13" s="41"/>
      <c r="E13" s="42">
        <f aca="true" t="shared" si="6" ref="E13:E31">IF(D13="","",ABS(LEFT(D13,2)))</f>
      </c>
      <c r="F13" s="42">
        <f aca="true" t="shared" si="7" ref="F13:F31">IF(D13="","",IF((E13&gt;=19)*(E13&lt;22),"PT","OPT"))</f>
      </c>
      <c r="G13" s="132"/>
      <c r="H13" s="43">
        <f>SUMIF(time100,D13,data!$L$16:$L$21)</f>
        <v>0</v>
      </c>
      <c r="I13" s="89">
        <f aca="true" t="shared" si="8" ref="I13:I31">COUNTA(X13:BB13)</f>
        <v>0</v>
      </c>
      <c r="J13" s="249">
        <f t="shared" si="1"/>
        <v>0</v>
      </c>
      <c r="K13" s="33" t="b">
        <f aca="true" t="shared" si="9" ref="K13:K31">IF($I$4="Да/Yes",0,IF(G13="Spons tag",H13/2,IF(G13="Spot",$G$4*H13,IF(G13="Paid report",H13*$G$4*1,IF(AND(G13="Cut-in",$G$4&lt;=10),H13*0.7,IF(G13="Break ID with VO 7+7",H13*1.2,IF(AND(G13="Spons promo",$G$4&lt;=10),H13/2,IF(G13="Break ID 7+7",H13))))))))</f>
        <v>0</v>
      </c>
      <c r="L13" s="35">
        <f aca="true" t="shared" si="10" ref="L13:L31">COUNTIF(X13:BB13,$E$4)</f>
        <v>0</v>
      </c>
      <c r="M13" s="33" t="b">
        <f aca="true" t="shared" si="11" ref="M13:M31">IF($I$5="Да/Yes",0,IF(G13="Spons tag",H13/2,IF(G13="Spot",$G$5*H13,IF(G13="Paid report",H13*$G$5*1,IF(AND(G13="Cut-in",$G$5&lt;=10),H13*0.7,IF(G13="Break ID with VO 7+7",H13*1.2,IF(AND(G13="Spons promo",$G$5&lt;=10),H13/2,IF(G13="Break ID 7+7",H13))))))))</f>
        <v>0</v>
      </c>
      <c r="N13" s="35">
        <f aca="true" t="shared" si="12" ref="N13:N31">COUNTIF(X13:BB13,$E$5)</f>
        <v>0</v>
      </c>
      <c r="O13" s="33" t="b">
        <f aca="true" t="shared" si="13" ref="O13:O31">IF($I$6="Да/Yes",0,IF(G13="Spons tag",H13/2,IF(G13="Spot",$G$6*H13,IF(G13="Paid report",H13*$G$6*1,IF(AND(G13="Cut-in",$G$6&lt;=10),H13*0.7,IF(G13="Break ID with VO 7+7",H13*1.2,IF(AND(G13="Spons promo",$G$6&lt;=10),H13/2,IF(G13="Break ID 7+7",H13))))))))</f>
        <v>0</v>
      </c>
      <c r="P13" s="35">
        <f aca="true" t="shared" si="14" ref="P13:P31">COUNTIF(X13:BB13,$E$6)</f>
        <v>0</v>
      </c>
      <c r="Q13" s="33" t="b">
        <f aca="true" t="shared" si="15" ref="Q13:Q31">IF($I$7="Да/Yes",0,IF(G13="Spons tag",H13/2,IF(G13="Spot",$G$7*H13,IF(G13="Paid report",H13*$G$7*1,IF(AND(G13="Cut-in",$G$7&lt;=10),H13*0.7,IF(G13="Break ID with VO 7+7",H13*1.2,IF(AND(G13="Spons promo",$G$7&lt;=10),H13/2,IF(G13="Break ID 7+7",H13))))))))</f>
        <v>0</v>
      </c>
      <c r="R13" s="35">
        <f aca="true" t="shared" si="16" ref="R13:R31">COUNTIF(X13:BB13,$E$7)</f>
        <v>0</v>
      </c>
      <c r="S13" s="33" t="b">
        <f aca="true" t="shared" si="17" ref="S13:S31">IF($I$8="Да/Yes",0,IF(G13="Spons tag",H13/2,IF(G13="Spot",$G$8*H13,IF(G13="Paid report",H13*$G$8*1,IF(AND(G13="Cut-in",$G$8&lt;=10),H13*0.7,IF(G13="Break ID with VO 7+7",H13*1.2,IF(AND(G13="Spons promo",$G$8&lt;=10),H13/2,IF(G13="Break ID 7+7",H13))))))))</f>
        <v>0</v>
      </c>
      <c r="T13" s="35">
        <f aca="true" t="shared" si="18" ref="T13:T31">COUNTIF(X13:BB13,$E$8)</f>
        <v>0</v>
      </c>
      <c r="U13" s="33" t="b">
        <f aca="true" t="shared" si="19" ref="U13:U31">IF($I$9="Да/Yes",0,IF(G13="Spons tag",H13/2,IF(G13="Spot",$G$9*H13,IF(G13="Paid report",H13*$G$9*1,IF(AND(G13="Cut-in",$G$9&lt;=10),H13*0.7,IF(G13="Break ID with VO 7+7",H13*1.2,IF(AND(G13="Spons promo",$G$9&lt;=10),H13/2,IF(G13="Break ID 7+7",H13))))))))</f>
        <v>0</v>
      </c>
      <c r="V13" s="35">
        <f aca="true" t="shared" si="20" ref="V13:V31">COUNTIF(X13:BB13,$E$9)</f>
        <v>0</v>
      </c>
      <c r="W13" s="35">
        <f>IF(BC13="",1,VLOOKUP(BC13,data!$C$3:$D$10,2,FALSE))*(1+BD13)</f>
        <v>1</v>
      </c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38"/>
      <c r="BD13" s="44"/>
      <c r="BE13" s="44"/>
      <c r="BF13" s="43">
        <f t="shared" si="2"/>
        <v>0</v>
      </c>
      <c r="BG13" s="43">
        <f t="shared" si="3"/>
        <v>0</v>
      </c>
      <c r="BH13" s="43">
        <f t="shared" si="4"/>
        <v>0</v>
      </c>
      <c r="BI13" s="43">
        <f aca="true" t="shared" si="21" ref="BI13:BI31">BE13*BG13</f>
        <v>0</v>
      </c>
      <c r="BJ13" s="43">
        <f aca="true" t="shared" si="22" ref="BJ13:BJ31">BH13+BI13</f>
        <v>0</v>
      </c>
      <c r="BL13" s="45">
        <f aca="true" t="shared" si="23" ref="BL13:BL31">((COUNTIF(X13:Z13,"A")*K13)+(COUNTIF(X13:Z13,"B")*M13)+(COUNTIF(X13:Z13,"C")*O13)+(COUNTIF(X13:Z13,"D")*Q13)+(COUNTIF(X13:Z13,"E")*S13)+(COUNTIF(X13:Z13,"F")*U13))*W13</f>
        <v>0</v>
      </c>
      <c r="BM13" s="45">
        <f aca="true" t="shared" si="24" ref="BM13:BM31">((COUNTIF(AA13:AG13,"A")*K13)+(COUNTIF(AA13:AG13,"B")*M13)+(COUNTIF(AA13:AG13,"C")*O13)+(COUNTIF(AA13:AG13,"D")*Q13)+(COUNTIF(AA13:AG13,"E")*S13)+(COUNTIF(AA13:AG13,"F")*U13))*W13</f>
        <v>0</v>
      </c>
      <c r="BN13" s="45">
        <f aca="true" t="shared" si="25" ref="BN13:BN31">((COUNTIF(AH13:AN13,"A")*K13)+(COUNTIF(AH13:AN13,"B")*M13)+(COUNTIF(AH13:AN13,"C")*O13)+(COUNTIF(AH13:AN13,"D")*Q13)+(COUNTIF(AH13:AN13,"E")*S13)++(COUNTIF(AH13:AN13,"F")*U13))*W13</f>
        <v>0</v>
      </c>
      <c r="BO13" s="45">
        <f aca="true" t="shared" si="26" ref="BO13:BO31">((COUNTIF(AO13:AU13,"A")*K13)+(COUNTIF(AO13:AU13,"B")*M13)+(COUNTIF(AO13:AU13,"C")*O13)+(COUNTIF(AO13:AU13,"D")*Q13)+(COUNTIF(AO13:AU13,"E")*S13)++(COUNTIF(AO13:AU13,"F")*U13))*W13</f>
        <v>0</v>
      </c>
      <c r="BP13" s="45">
        <f aca="true" t="shared" si="27" ref="BP13:BP31">((COUNTIF(AV13:BB13,"A")*K13)+(COUNTIF(AV13:BB13,"B")*M13)+(COUNTIF(AV13:BB13,"C")*O13)+(COUNTIF(AV13:BB13,"D")*Q13)+(COUNTIF(AV13:BB13,"E")*S13)+(COUNTIF(AV13:BB13,"F")*U13))*W13</f>
        <v>0</v>
      </c>
      <c r="BQ13" s="45">
        <f t="shared" si="5"/>
        <v>0</v>
      </c>
    </row>
    <row r="14" spans="1:69" ht="12.75" customHeight="1">
      <c r="A14" s="38"/>
      <c r="B14" s="39"/>
      <c r="C14" s="40"/>
      <c r="D14" s="41"/>
      <c r="E14" s="42">
        <f t="shared" si="6"/>
      </c>
      <c r="F14" s="42">
        <f t="shared" si="7"/>
      </c>
      <c r="G14" s="132"/>
      <c r="H14" s="43">
        <f>SUMIF(time100,D14,data!$L$16:$L$21)</f>
        <v>0</v>
      </c>
      <c r="I14" s="89">
        <f t="shared" si="8"/>
        <v>0</v>
      </c>
      <c r="J14" s="249">
        <f t="shared" si="1"/>
        <v>0</v>
      </c>
      <c r="K14" s="33" t="b">
        <f t="shared" si="9"/>
        <v>0</v>
      </c>
      <c r="L14" s="35">
        <f t="shared" si="10"/>
        <v>0</v>
      </c>
      <c r="M14" s="33" t="b">
        <f t="shared" si="11"/>
        <v>0</v>
      </c>
      <c r="N14" s="35">
        <f t="shared" si="12"/>
        <v>0</v>
      </c>
      <c r="O14" s="33" t="b">
        <f t="shared" si="13"/>
        <v>0</v>
      </c>
      <c r="P14" s="35">
        <f t="shared" si="14"/>
        <v>0</v>
      </c>
      <c r="Q14" s="33" t="b">
        <f t="shared" si="15"/>
        <v>0</v>
      </c>
      <c r="R14" s="35">
        <f t="shared" si="16"/>
        <v>0</v>
      </c>
      <c r="S14" s="33" t="b">
        <f t="shared" si="17"/>
        <v>0</v>
      </c>
      <c r="T14" s="35">
        <f t="shared" si="18"/>
        <v>0</v>
      </c>
      <c r="U14" s="33" t="b">
        <f t="shared" si="19"/>
        <v>0</v>
      </c>
      <c r="V14" s="35">
        <f t="shared" si="20"/>
        <v>0</v>
      </c>
      <c r="W14" s="35">
        <f>IF(BC14="",1,VLOOKUP(BC14,data!$C$3:$D$10,2,FALSE))*(1+BD14)</f>
        <v>1</v>
      </c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38"/>
      <c r="BD14" s="44"/>
      <c r="BE14" s="44"/>
      <c r="BF14" s="43">
        <f t="shared" si="2"/>
        <v>0</v>
      </c>
      <c r="BG14" s="43">
        <f t="shared" si="3"/>
        <v>0</v>
      </c>
      <c r="BH14" s="43">
        <f t="shared" si="4"/>
        <v>0</v>
      </c>
      <c r="BI14" s="43">
        <f t="shared" si="21"/>
        <v>0</v>
      </c>
      <c r="BJ14" s="43">
        <f t="shared" si="22"/>
        <v>0</v>
      </c>
      <c r="BL14" s="45">
        <f t="shared" si="23"/>
        <v>0</v>
      </c>
      <c r="BM14" s="45">
        <f t="shared" si="24"/>
        <v>0</v>
      </c>
      <c r="BN14" s="45">
        <f t="shared" si="25"/>
        <v>0</v>
      </c>
      <c r="BO14" s="45">
        <f t="shared" si="26"/>
        <v>0</v>
      </c>
      <c r="BP14" s="45">
        <f t="shared" si="27"/>
        <v>0</v>
      </c>
      <c r="BQ14" s="45">
        <f t="shared" si="5"/>
        <v>0</v>
      </c>
    </row>
    <row r="15" spans="1:69" ht="12.75" customHeight="1">
      <c r="A15" s="38"/>
      <c r="B15" s="39"/>
      <c r="C15" s="40"/>
      <c r="D15" s="41"/>
      <c r="E15" s="42">
        <f t="shared" si="6"/>
      </c>
      <c r="F15" s="42">
        <f t="shared" si="7"/>
      </c>
      <c r="G15" s="132"/>
      <c r="H15" s="43">
        <f>SUMIF(time100,D15,data!$L$16:$L$21)</f>
        <v>0</v>
      </c>
      <c r="I15" s="89">
        <f t="shared" si="8"/>
        <v>0</v>
      </c>
      <c r="J15" s="249">
        <f t="shared" si="1"/>
        <v>0</v>
      </c>
      <c r="K15" s="33" t="b">
        <f t="shared" si="9"/>
        <v>0</v>
      </c>
      <c r="L15" s="35">
        <f t="shared" si="10"/>
        <v>0</v>
      </c>
      <c r="M15" s="33" t="b">
        <f t="shared" si="11"/>
        <v>0</v>
      </c>
      <c r="N15" s="35">
        <f t="shared" si="12"/>
        <v>0</v>
      </c>
      <c r="O15" s="33" t="b">
        <f t="shared" si="13"/>
        <v>0</v>
      </c>
      <c r="P15" s="35">
        <f t="shared" si="14"/>
        <v>0</v>
      </c>
      <c r="Q15" s="33" t="b">
        <f t="shared" si="15"/>
        <v>0</v>
      </c>
      <c r="R15" s="35">
        <f t="shared" si="16"/>
        <v>0</v>
      </c>
      <c r="S15" s="33" t="b">
        <f t="shared" si="17"/>
        <v>0</v>
      </c>
      <c r="T15" s="35">
        <f t="shared" si="18"/>
        <v>0</v>
      </c>
      <c r="U15" s="33" t="b">
        <f t="shared" si="19"/>
        <v>0</v>
      </c>
      <c r="V15" s="35">
        <f t="shared" si="20"/>
        <v>0</v>
      </c>
      <c r="W15" s="35">
        <f>IF(BC15="",1,VLOOKUP(BC15,data!$C$3:$D$10,2,FALSE))*(1+BD15)</f>
        <v>1</v>
      </c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38"/>
      <c r="BD15" s="44"/>
      <c r="BE15" s="44"/>
      <c r="BF15" s="43">
        <f t="shared" si="2"/>
        <v>0</v>
      </c>
      <c r="BG15" s="43">
        <f t="shared" si="3"/>
        <v>0</v>
      </c>
      <c r="BH15" s="43">
        <f t="shared" si="4"/>
        <v>0</v>
      </c>
      <c r="BI15" s="43">
        <f t="shared" si="21"/>
        <v>0</v>
      </c>
      <c r="BJ15" s="43">
        <f t="shared" si="22"/>
        <v>0</v>
      </c>
      <c r="BL15" s="45">
        <f t="shared" si="23"/>
        <v>0</v>
      </c>
      <c r="BM15" s="45">
        <f t="shared" si="24"/>
        <v>0</v>
      </c>
      <c r="BN15" s="45">
        <f t="shared" si="25"/>
        <v>0</v>
      </c>
      <c r="BO15" s="45">
        <f t="shared" si="26"/>
        <v>0</v>
      </c>
      <c r="BP15" s="45">
        <f t="shared" si="27"/>
        <v>0</v>
      </c>
      <c r="BQ15" s="45">
        <f t="shared" si="5"/>
        <v>0</v>
      </c>
    </row>
    <row r="16" spans="1:69" ht="12.75" customHeight="1">
      <c r="A16" s="38"/>
      <c r="B16" s="39"/>
      <c r="C16" s="40"/>
      <c r="D16" s="41"/>
      <c r="E16" s="42">
        <f t="shared" si="6"/>
      </c>
      <c r="F16" s="42">
        <f t="shared" si="7"/>
      </c>
      <c r="G16" s="132"/>
      <c r="H16" s="43">
        <f>SUMIF(time100,D16,data!$L$16:$L$21)</f>
        <v>0</v>
      </c>
      <c r="I16" s="89">
        <f t="shared" si="8"/>
        <v>0</v>
      </c>
      <c r="J16" s="249">
        <f t="shared" si="1"/>
        <v>0</v>
      </c>
      <c r="K16" s="33" t="b">
        <f t="shared" si="9"/>
        <v>0</v>
      </c>
      <c r="L16" s="35">
        <f t="shared" si="10"/>
        <v>0</v>
      </c>
      <c r="M16" s="33" t="b">
        <f t="shared" si="11"/>
        <v>0</v>
      </c>
      <c r="N16" s="35">
        <f t="shared" si="12"/>
        <v>0</v>
      </c>
      <c r="O16" s="33" t="b">
        <f t="shared" si="13"/>
        <v>0</v>
      </c>
      <c r="P16" s="35">
        <f t="shared" si="14"/>
        <v>0</v>
      </c>
      <c r="Q16" s="33" t="b">
        <f t="shared" si="15"/>
        <v>0</v>
      </c>
      <c r="R16" s="35">
        <f t="shared" si="16"/>
        <v>0</v>
      </c>
      <c r="S16" s="33" t="b">
        <f t="shared" si="17"/>
        <v>0</v>
      </c>
      <c r="T16" s="35">
        <f t="shared" si="18"/>
        <v>0</v>
      </c>
      <c r="U16" s="33" t="b">
        <f t="shared" si="19"/>
        <v>0</v>
      </c>
      <c r="V16" s="35">
        <f t="shared" si="20"/>
        <v>0</v>
      </c>
      <c r="W16" s="35">
        <f>IF(BC16="",1,VLOOKUP(BC16,data!$C$3:$D$10,2,FALSE))*(1+BD16)</f>
        <v>1</v>
      </c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38"/>
      <c r="BD16" s="44"/>
      <c r="BE16" s="44"/>
      <c r="BF16" s="43">
        <f t="shared" si="2"/>
        <v>0</v>
      </c>
      <c r="BG16" s="43">
        <f t="shared" si="3"/>
        <v>0</v>
      </c>
      <c r="BH16" s="43">
        <f t="shared" si="4"/>
        <v>0</v>
      </c>
      <c r="BI16" s="43">
        <f t="shared" si="21"/>
        <v>0</v>
      </c>
      <c r="BJ16" s="43">
        <f t="shared" si="22"/>
        <v>0</v>
      </c>
      <c r="BL16" s="45">
        <f t="shared" si="23"/>
        <v>0</v>
      </c>
      <c r="BM16" s="45">
        <f t="shared" si="24"/>
        <v>0</v>
      </c>
      <c r="BN16" s="45">
        <f t="shared" si="25"/>
        <v>0</v>
      </c>
      <c r="BO16" s="45">
        <f t="shared" si="26"/>
        <v>0</v>
      </c>
      <c r="BP16" s="45">
        <f t="shared" si="27"/>
        <v>0</v>
      </c>
      <c r="BQ16" s="45">
        <f t="shared" si="5"/>
        <v>0</v>
      </c>
    </row>
    <row r="17" spans="1:69" ht="12.75" customHeight="1">
      <c r="A17" s="38"/>
      <c r="B17" s="39"/>
      <c r="C17" s="40"/>
      <c r="D17" s="41"/>
      <c r="E17" s="42">
        <f t="shared" si="6"/>
      </c>
      <c r="F17" s="42">
        <f t="shared" si="7"/>
      </c>
      <c r="G17" s="132"/>
      <c r="H17" s="43">
        <f>SUMIF(time100,D17,data!$L$16:$L$21)</f>
        <v>0</v>
      </c>
      <c r="I17" s="89">
        <f t="shared" si="8"/>
        <v>0</v>
      </c>
      <c r="J17" s="249">
        <f t="shared" si="1"/>
        <v>0</v>
      </c>
      <c r="K17" s="33" t="b">
        <f t="shared" si="9"/>
        <v>0</v>
      </c>
      <c r="L17" s="35">
        <f t="shared" si="10"/>
        <v>0</v>
      </c>
      <c r="M17" s="33" t="b">
        <f t="shared" si="11"/>
        <v>0</v>
      </c>
      <c r="N17" s="35">
        <f t="shared" si="12"/>
        <v>0</v>
      </c>
      <c r="O17" s="33" t="b">
        <f t="shared" si="13"/>
        <v>0</v>
      </c>
      <c r="P17" s="35">
        <f t="shared" si="14"/>
        <v>0</v>
      </c>
      <c r="Q17" s="33" t="b">
        <f t="shared" si="15"/>
        <v>0</v>
      </c>
      <c r="R17" s="35">
        <f t="shared" si="16"/>
        <v>0</v>
      </c>
      <c r="S17" s="33" t="b">
        <f t="shared" si="17"/>
        <v>0</v>
      </c>
      <c r="T17" s="35">
        <f t="shared" si="18"/>
        <v>0</v>
      </c>
      <c r="U17" s="33" t="b">
        <f t="shared" si="19"/>
        <v>0</v>
      </c>
      <c r="V17" s="35">
        <f t="shared" si="20"/>
        <v>0</v>
      </c>
      <c r="W17" s="35">
        <f>IF(BC17="",1,VLOOKUP(BC17,data!$C$3:$D$10,2,FALSE))*(1+BD17)</f>
        <v>1</v>
      </c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38"/>
      <c r="BD17" s="44"/>
      <c r="BE17" s="44"/>
      <c r="BF17" s="43">
        <f t="shared" si="2"/>
        <v>0</v>
      </c>
      <c r="BG17" s="43">
        <f t="shared" si="3"/>
        <v>0</v>
      </c>
      <c r="BH17" s="43">
        <f t="shared" si="4"/>
        <v>0</v>
      </c>
      <c r="BI17" s="43">
        <f t="shared" si="21"/>
        <v>0</v>
      </c>
      <c r="BJ17" s="43">
        <f t="shared" si="22"/>
        <v>0</v>
      </c>
      <c r="BL17" s="45">
        <f t="shared" si="23"/>
        <v>0</v>
      </c>
      <c r="BM17" s="45">
        <f t="shared" si="24"/>
        <v>0</v>
      </c>
      <c r="BN17" s="45">
        <f t="shared" si="25"/>
        <v>0</v>
      </c>
      <c r="BO17" s="45">
        <f t="shared" si="26"/>
        <v>0</v>
      </c>
      <c r="BP17" s="45">
        <f t="shared" si="27"/>
        <v>0</v>
      </c>
      <c r="BQ17" s="45">
        <f t="shared" si="5"/>
        <v>0</v>
      </c>
    </row>
    <row r="18" spans="1:69" ht="12.75" customHeight="1">
      <c r="A18" s="38"/>
      <c r="B18" s="39"/>
      <c r="C18" s="40"/>
      <c r="D18" s="41"/>
      <c r="E18" s="42">
        <f t="shared" si="6"/>
      </c>
      <c r="F18" s="42">
        <f t="shared" si="7"/>
      </c>
      <c r="G18" s="132"/>
      <c r="H18" s="43">
        <f>SUMIF(time100,D18,data!$L$16:$L$21)</f>
        <v>0</v>
      </c>
      <c r="I18" s="89">
        <f t="shared" si="8"/>
        <v>0</v>
      </c>
      <c r="J18" s="249">
        <f t="shared" si="1"/>
        <v>0</v>
      </c>
      <c r="K18" s="33" t="b">
        <f t="shared" si="9"/>
        <v>0</v>
      </c>
      <c r="L18" s="35">
        <f t="shared" si="10"/>
        <v>0</v>
      </c>
      <c r="M18" s="33" t="b">
        <f t="shared" si="11"/>
        <v>0</v>
      </c>
      <c r="N18" s="35">
        <f t="shared" si="12"/>
        <v>0</v>
      </c>
      <c r="O18" s="33" t="b">
        <f t="shared" si="13"/>
        <v>0</v>
      </c>
      <c r="P18" s="35">
        <f t="shared" si="14"/>
        <v>0</v>
      </c>
      <c r="Q18" s="33" t="b">
        <f t="shared" si="15"/>
        <v>0</v>
      </c>
      <c r="R18" s="35">
        <f t="shared" si="16"/>
        <v>0</v>
      </c>
      <c r="S18" s="33" t="b">
        <f t="shared" si="17"/>
        <v>0</v>
      </c>
      <c r="T18" s="35">
        <f t="shared" si="18"/>
        <v>0</v>
      </c>
      <c r="U18" s="33" t="b">
        <f t="shared" si="19"/>
        <v>0</v>
      </c>
      <c r="V18" s="35">
        <f t="shared" si="20"/>
        <v>0</v>
      </c>
      <c r="W18" s="35">
        <f>IF(BC18="",1,VLOOKUP(BC18,data!$C$3:$D$10,2,FALSE))*(1+BD18)</f>
        <v>1</v>
      </c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38"/>
      <c r="BD18" s="44"/>
      <c r="BE18" s="44"/>
      <c r="BF18" s="43">
        <f t="shared" si="2"/>
        <v>0</v>
      </c>
      <c r="BG18" s="43">
        <f t="shared" si="3"/>
        <v>0</v>
      </c>
      <c r="BH18" s="43">
        <f t="shared" si="4"/>
        <v>0</v>
      </c>
      <c r="BI18" s="43">
        <f t="shared" si="21"/>
        <v>0</v>
      </c>
      <c r="BJ18" s="43">
        <f t="shared" si="22"/>
        <v>0</v>
      </c>
      <c r="BL18" s="45">
        <f t="shared" si="23"/>
        <v>0</v>
      </c>
      <c r="BM18" s="45">
        <f t="shared" si="24"/>
        <v>0</v>
      </c>
      <c r="BN18" s="45">
        <f t="shared" si="25"/>
        <v>0</v>
      </c>
      <c r="BO18" s="45">
        <f t="shared" si="26"/>
        <v>0</v>
      </c>
      <c r="BP18" s="45">
        <f t="shared" si="27"/>
        <v>0</v>
      </c>
      <c r="BQ18" s="45">
        <f t="shared" si="5"/>
        <v>0</v>
      </c>
    </row>
    <row r="19" spans="1:69" ht="12.75" customHeight="1">
      <c r="A19" s="38"/>
      <c r="B19" s="39"/>
      <c r="C19" s="40"/>
      <c r="D19" s="41"/>
      <c r="E19" s="42">
        <f t="shared" si="6"/>
      </c>
      <c r="F19" s="42">
        <f t="shared" si="7"/>
      </c>
      <c r="G19" s="132"/>
      <c r="H19" s="43">
        <f>SUMIF(time100,D19,data!$L$16:$L$21)</f>
        <v>0</v>
      </c>
      <c r="I19" s="89">
        <f t="shared" si="8"/>
        <v>0</v>
      </c>
      <c r="J19" s="249">
        <f t="shared" si="1"/>
        <v>0</v>
      </c>
      <c r="K19" s="33" t="b">
        <f t="shared" si="9"/>
        <v>0</v>
      </c>
      <c r="L19" s="35">
        <f t="shared" si="10"/>
        <v>0</v>
      </c>
      <c r="M19" s="33" t="b">
        <f t="shared" si="11"/>
        <v>0</v>
      </c>
      <c r="N19" s="35">
        <f t="shared" si="12"/>
        <v>0</v>
      </c>
      <c r="O19" s="33" t="b">
        <f t="shared" si="13"/>
        <v>0</v>
      </c>
      <c r="P19" s="35">
        <f t="shared" si="14"/>
        <v>0</v>
      </c>
      <c r="Q19" s="33" t="b">
        <f t="shared" si="15"/>
        <v>0</v>
      </c>
      <c r="R19" s="35">
        <f t="shared" si="16"/>
        <v>0</v>
      </c>
      <c r="S19" s="33" t="b">
        <f t="shared" si="17"/>
        <v>0</v>
      </c>
      <c r="T19" s="35">
        <f t="shared" si="18"/>
        <v>0</v>
      </c>
      <c r="U19" s="33" t="b">
        <f t="shared" si="19"/>
        <v>0</v>
      </c>
      <c r="V19" s="35">
        <f t="shared" si="20"/>
        <v>0</v>
      </c>
      <c r="W19" s="35">
        <f>IF(BC19="",1,VLOOKUP(BC19,data!$C$3:$D$10,2,FALSE))*(1+BD19)</f>
        <v>1</v>
      </c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38"/>
      <c r="BD19" s="44"/>
      <c r="BE19" s="44"/>
      <c r="BF19" s="43">
        <f t="shared" si="2"/>
        <v>0</v>
      </c>
      <c r="BG19" s="43">
        <f t="shared" si="3"/>
        <v>0</v>
      </c>
      <c r="BH19" s="43">
        <f t="shared" si="4"/>
        <v>0</v>
      </c>
      <c r="BI19" s="43">
        <f t="shared" si="21"/>
        <v>0</v>
      </c>
      <c r="BJ19" s="43">
        <f t="shared" si="22"/>
        <v>0</v>
      </c>
      <c r="BL19" s="45">
        <f t="shared" si="23"/>
        <v>0</v>
      </c>
      <c r="BM19" s="45">
        <f t="shared" si="24"/>
        <v>0</v>
      </c>
      <c r="BN19" s="45">
        <f t="shared" si="25"/>
        <v>0</v>
      </c>
      <c r="BO19" s="45">
        <f t="shared" si="26"/>
        <v>0</v>
      </c>
      <c r="BP19" s="45">
        <f t="shared" si="27"/>
        <v>0</v>
      </c>
      <c r="BQ19" s="45">
        <f t="shared" si="5"/>
        <v>0</v>
      </c>
    </row>
    <row r="20" spans="1:69" ht="12.75" customHeight="1">
      <c r="A20" s="38"/>
      <c r="B20" s="39"/>
      <c r="C20" s="40"/>
      <c r="D20" s="41"/>
      <c r="E20" s="42">
        <f t="shared" si="6"/>
      </c>
      <c r="F20" s="42">
        <f t="shared" si="7"/>
      </c>
      <c r="G20" s="132"/>
      <c r="H20" s="43">
        <f>SUMIF(time100,D20,data!$L$16:$L$21)</f>
        <v>0</v>
      </c>
      <c r="I20" s="89">
        <f t="shared" si="8"/>
        <v>0</v>
      </c>
      <c r="J20" s="249">
        <f t="shared" si="1"/>
        <v>0</v>
      </c>
      <c r="K20" s="33" t="b">
        <f t="shared" si="9"/>
        <v>0</v>
      </c>
      <c r="L20" s="35">
        <f t="shared" si="10"/>
        <v>0</v>
      </c>
      <c r="M20" s="33" t="b">
        <f t="shared" si="11"/>
        <v>0</v>
      </c>
      <c r="N20" s="35">
        <f t="shared" si="12"/>
        <v>0</v>
      </c>
      <c r="O20" s="33" t="b">
        <f t="shared" si="13"/>
        <v>0</v>
      </c>
      <c r="P20" s="35">
        <f t="shared" si="14"/>
        <v>0</v>
      </c>
      <c r="Q20" s="33" t="b">
        <f t="shared" si="15"/>
        <v>0</v>
      </c>
      <c r="R20" s="35">
        <f t="shared" si="16"/>
        <v>0</v>
      </c>
      <c r="S20" s="33" t="b">
        <f t="shared" si="17"/>
        <v>0</v>
      </c>
      <c r="T20" s="35">
        <f t="shared" si="18"/>
        <v>0</v>
      </c>
      <c r="U20" s="33" t="b">
        <f t="shared" si="19"/>
        <v>0</v>
      </c>
      <c r="V20" s="35">
        <f t="shared" si="20"/>
        <v>0</v>
      </c>
      <c r="W20" s="35">
        <f>IF(BC20="",1,VLOOKUP(BC20,data!$C$3:$D$10,2,FALSE))*(1+BD20)</f>
        <v>1</v>
      </c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38"/>
      <c r="BD20" s="44"/>
      <c r="BE20" s="44"/>
      <c r="BF20" s="43">
        <f t="shared" si="2"/>
        <v>0</v>
      </c>
      <c r="BG20" s="43">
        <f t="shared" si="3"/>
        <v>0</v>
      </c>
      <c r="BH20" s="43">
        <f t="shared" si="4"/>
        <v>0</v>
      </c>
      <c r="BI20" s="43">
        <f t="shared" si="21"/>
        <v>0</v>
      </c>
      <c r="BJ20" s="43">
        <f t="shared" si="22"/>
        <v>0</v>
      </c>
      <c r="BL20" s="45">
        <f t="shared" si="23"/>
        <v>0</v>
      </c>
      <c r="BM20" s="45">
        <f t="shared" si="24"/>
        <v>0</v>
      </c>
      <c r="BN20" s="45">
        <f t="shared" si="25"/>
        <v>0</v>
      </c>
      <c r="BO20" s="45">
        <f t="shared" si="26"/>
        <v>0</v>
      </c>
      <c r="BP20" s="45">
        <f t="shared" si="27"/>
        <v>0</v>
      </c>
      <c r="BQ20" s="45">
        <f t="shared" si="5"/>
        <v>0</v>
      </c>
    </row>
    <row r="21" spans="1:69" ht="12.75" customHeight="1">
      <c r="A21" s="38"/>
      <c r="B21" s="39"/>
      <c r="C21" s="40"/>
      <c r="D21" s="41"/>
      <c r="E21" s="42">
        <f t="shared" si="6"/>
      </c>
      <c r="F21" s="42">
        <f t="shared" si="7"/>
      </c>
      <c r="G21" s="132"/>
      <c r="H21" s="43">
        <f>SUMIF(time100,D21,data!$L$16:$L$21)</f>
        <v>0</v>
      </c>
      <c r="I21" s="89">
        <f t="shared" si="8"/>
        <v>0</v>
      </c>
      <c r="J21" s="249">
        <f t="shared" si="1"/>
        <v>0</v>
      </c>
      <c r="K21" s="33" t="b">
        <f t="shared" si="9"/>
        <v>0</v>
      </c>
      <c r="L21" s="35">
        <f t="shared" si="10"/>
        <v>0</v>
      </c>
      <c r="M21" s="33" t="b">
        <f t="shared" si="11"/>
        <v>0</v>
      </c>
      <c r="N21" s="35">
        <f t="shared" si="12"/>
        <v>0</v>
      </c>
      <c r="O21" s="33" t="b">
        <f t="shared" si="13"/>
        <v>0</v>
      </c>
      <c r="P21" s="35">
        <f t="shared" si="14"/>
        <v>0</v>
      </c>
      <c r="Q21" s="33" t="b">
        <f t="shared" si="15"/>
        <v>0</v>
      </c>
      <c r="R21" s="35">
        <f t="shared" si="16"/>
        <v>0</v>
      </c>
      <c r="S21" s="33" t="b">
        <f t="shared" si="17"/>
        <v>0</v>
      </c>
      <c r="T21" s="35">
        <f t="shared" si="18"/>
        <v>0</v>
      </c>
      <c r="U21" s="33" t="b">
        <f t="shared" si="19"/>
        <v>0</v>
      </c>
      <c r="V21" s="35">
        <f t="shared" si="20"/>
        <v>0</v>
      </c>
      <c r="W21" s="35">
        <f>IF(BC21="",1,VLOOKUP(BC21,data!$C$3:$D$10,2,FALSE))*(1+BD21)</f>
        <v>1</v>
      </c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38"/>
      <c r="BD21" s="44"/>
      <c r="BE21" s="44"/>
      <c r="BF21" s="43">
        <f t="shared" si="2"/>
        <v>0</v>
      </c>
      <c r="BG21" s="43">
        <f t="shared" si="3"/>
        <v>0</v>
      </c>
      <c r="BH21" s="43">
        <f t="shared" si="4"/>
        <v>0</v>
      </c>
      <c r="BI21" s="43">
        <f t="shared" si="21"/>
        <v>0</v>
      </c>
      <c r="BJ21" s="43">
        <f t="shared" si="22"/>
        <v>0</v>
      </c>
      <c r="BL21" s="45">
        <f t="shared" si="23"/>
        <v>0</v>
      </c>
      <c r="BM21" s="45">
        <f t="shared" si="24"/>
        <v>0</v>
      </c>
      <c r="BN21" s="45">
        <f t="shared" si="25"/>
        <v>0</v>
      </c>
      <c r="BO21" s="45">
        <f t="shared" si="26"/>
        <v>0</v>
      </c>
      <c r="BP21" s="45">
        <f t="shared" si="27"/>
        <v>0</v>
      </c>
      <c r="BQ21" s="45">
        <f t="shared" si="5"/>
        <v>0</v>
      </c>
    </row>
    <row r="22" spans="1:69" ht="12.75" customHeight="1">
      <c r="A22" s="38"/>
      <c r="B22" s="39"/>
      <c r="C22" s="40"/>
      <c r="D22" s="41"/>
      <c r="E22" s="42">
        <f t="shared" si="6"/>
      </c>
      <c r="F22" s="42">
        <f t="shared" si="7"/>
      </c>
      <c r="G22" s="132"/>
      <c r="H22" s="43">
        <f>SUMIF(time100,D22,data!$L$16:$L$21)</f>
        <v>0</v>
      </c>
      <c r="I22" s="89">
        <f t="shared" si="8"/>
        <v>0</v>
      </c>
      <c r="J22" s="249">
        <f t="shared" si="1"/>
        <v>0</v>
      </c>
      <c r="K22" s="33" t="b">
        <f t="shared" si="9"/>
        <v>0</v>
      </c>
      <c r="L22" s="35">
        <f t="shared" si="10"/>
        <v>0</v>
      </c>
      <c r="M22" s="33" t="b">
        <f t="shared" si="11"/>
        <v>0</v>
      </c>
      <c r="N22" s="35">
        <f t="shared" si="12"/>
        <v>0</v>
      </c>
      <c r="O22" s="33" t="b">
        <f t="shared" si="13"/>
        <v>0</v>
      </c>
      <c r="P22" s="35">
        <f t="shared" si="14"/>
        <v>0</v>
      </c>
      <c r="Q22" s="33" t="b">
        <f t="shared" si="15"/>
        <v>0</v>
      </c>
      <c r="R22" s="35">
        <f t="shared" si="16"/>
        <v>0</v>
      </c>
      <c r="S22" s="33" t="b">
        <f t="shared" si="17"/>
        <v>0</v>
      </c>
      <c r="T22" s="35">
        <f t="shared" si="18"/>
        <v>0</v>
      </c>
      <c r="U22" s="33" t="b">
        <f t="shared" si="19"/>
        <v>0</v>
      </c>
      <c r="V22" s="35">
        <f t="shared" si="20"/>
        <v>0</v>
      </c>
      <c r="W22" s="35">
        <f>IF(BC22="",1,VLOOKUP(BC22,data!$C$3:$D$10,2,FALSE))*(1+BD22)</f>
        <v>1</v>
      </c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38"/>
      <c r="BD22" s="44"/>
      <c r="BE22" s="44"/>
      <c r="BF22" s="43">
        <f t="shared" si="2"/>
        <v>0</v>
      </c>
      <c r="BG22" s="43">
        <f t="shared" si="3"/>
        <v>0</v>
      </c>
      <c r="BH22" s="43">
        <f t="shared" si="4"/>
        <v>0</v>
      </c>
      <c r="BI22" s="43">
        <f t="shared" si="21"/>
        <v>0</v>
      </c>
      <c r="BJ22" s="43">
        <f t="shared" si="22"/>
        <v>0</v>
      </c>
      <c r="BL22" s="45">
        <f t="shared" si="23"/>
        <v>0</v>
      </c>
      <c r="BM22" s="45">
        <f t="shared" si="24"/>
        <v>0</v>
      </c>
      <c r="BN22" s="45">
        <f t="shared" si="25"/>
        <v>0</v>
      </c>
      <c r="BO22" s="45">
        <f t="shared" si="26"/>
        <v>0</v>
      </c>
      <c r="BP22" s="45">
        <f t="shared" si="27"/>
        <v>0</v>
      </c>
      <c r="BQ22" s="45">
        <f t="shared" si="5"/>
        <v>0</v>
      </c>
    </row>
    <row r="23" spans="1:69" ht="12.75" customHeight="1">
      <c r="A23" s="38"/>
      <c r="B23" s="39"/>
      <c r="C23" s="40"/>
      <c r="D23" s="41"/>
      <c r="E23" s="42">
        <f t="shared" si="6"/>
      </c>
      <c r="F23" s="42">
        <f t="shared" si="7"/>
      </c>
      <c r="G23" s="132"/>
      <c r="H23" s="43">
        <f>SUMIF(time100,D23,data!$L$16:$L$21)</f>
        <v>0</v>
      </c>
      <c r="I23" s="89">
        <f t="shared" si="8"/>
        <v>0</v>
      </c>
      <c r="J23" s="249">
        <f t="shared" si="1"/>
        <v>0</v>
      </c>
      <c r="K23" s="33" t="b">
        <f t="shared" si="9"/>
        <v>0</v>
      </c>
      <c r="L23" s="35">
        <f t="shared" si="10"/>
        <v>0</v>
      </c>
      <c r="M23" s="33" t="b">
        <f t="shared" si="11"/>
        <v>0</v>
      </c>
      <c r="N23" s="35">
        <f t="shared" si="12"/>
        <v>0</v>
      </c>
      <c r="O23" s="33" t="b">
        <f t="shared" si="13"/>
        <v>0</v>
      </c>
      <c r="P23" s="35">
        <f t="shared" si="14"/>
        <v>0</v>
      </c>
      <c r="Q23" s="33" t="b">
        <f t="shared" si="15"/>
        <v>0</v>
      </c>
      <c r="R23" s="35">
        <f t="shared" si="16"/>
        <v>0</v>
      </c>
      <c r="S23" s="33" t="b">
        <f t="shared" si="17"/>
        <v>0</v>
      </c>
      <c r="T23" s="35">
        <f t="shared" si="18"/>
        <v>0</v>
      </c>
      <c r="U23" s="33" t="b">
        <f t="shared" si="19"/>
        <v>0</v>
      </c>
      <c r="V23" s="35">
        <f t="shared" si="20"/>
        <v>0</v>
      </c>
      <c r="W23" s="35">
        <f>IF(BC23="",1,VLOOKUP(BC23,data!$C$3:$D$10,2,FALSE))*(1+BD23)</f>
        <v>1</v>
      </c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38"/>
      <c r="BD23" s="44"/>
      <c r="BE23" s="44"/>
      <c r="BF23" s="43">
        <f t="shared" si="2"/>
        <v>0</v>
      </c>
      <c r="BG23" s="43">
        <f t="shared" si="3"/>
        <v>0</v>
      </c>
      <c r="BH23" s="43">
        <f t="shared" si="4"/>
        <v>0</v>
      </c>
      <c r="BI23" s="43">
        <f t="shared" si="21"/>
        <v>0</v>
      </c>
      <c r="BJ23" s="43">
        <f t="shared" si="22"/>
        <v>0</v>
      </c>
      <c r="BL23" s="45">
        <f t="shared" si="23"/>
        <v>0</v>
      </c>
      <c r="BM23" s="45">
        <f t="shared" si="24"/>
        <v>0</v>
      </c>
      <c r="BN23" s="45">
        <f t="shared" si="25"/>
        <v>0</v>
      </c>
      <c r="BO23" s="45">
        <f t="shared" si="26"/>
        <v>0</v>
      </c>
      <c r="BP23" s="45">
        <f t="shared" si="27"/>
        <v>0</v>
      </c>
      <c r="BQ23" s="45">
        <f t="shared" si="5"/>
        <v>0</v>
      </c>
    </row>
    <row r="24" spans="1:69" ht="12.75" customHeight="1">
      <c r="A24" s="38"/>
      <c r="B24" s="39"/>
      <c r="C24" s="40"/>
      <c r="D24" s="41"/>
      <c r="E24" s="42">
        <f t="shared" si="6"/>
      </c>
      <c r="F24" s="42">
        <f t="shared" si="7"/>
      </c>
      <c r="G24" s="132"/>
      <c r="H24" s="43">
        <f>SUMIF(time100,D24,data!$L$16:$L$21)</f>
        <v>0</v>
      </c>
      <c r="I24" s="89">
        <f t="shared" si="8"/>
        <v>0</v>
      </c>
      <c r="J24" s="249">
        <f t="shared" si="1"/>
        <v>0</v>
      </c>
      <c r="K24" s="33" t="b">
        <f t="shared" si="9"/>
        <v>0</v>
      </c>
      <c r="L24" s="35">
        <f t="shared" si="10"/>
        <v>0</v>
      </c>
      <c r="M24" s="33" t="b">
        <f t="shared" si="11"/>
        <v>0</v>
      </c>
      <c r="N24" s="35">
        <f t="shared" si="12"/>
        <v>0</v>
      </c>
      <c r="O24" s="33" t="b">
        <f t="shared" si="13"/>
        <v>0</v>
      </c>
      <c r="P24" s="35">
        <f t="shared" si="14"/>
        <v>0</v>
      </c>
      <c r="Q24" s="33" t="b">
        <f t="shared" si="15"/>
        <v>0</v>
      </c>
      <c r="R24" s="35">
        <f t="shared" si="16"/>
        <v>0</v>
      </c>
      <c r="S24" s="33" t="b">
        <f t="shared" si="17"/>
        <v>0</v>
      </c>
      <c r="T24" s="35">
        <f t="shared" si="18"/>
        <v>0</v>
      </c>
      <c r="U24" s="33" t="b">
        <f t="shared" si="19"/>
        <v>0</v>
      </c>
      <c r="V24" s="35">
        <f t="shared" si="20"/>
        <v>0</v>
      </c>
      <c r="W24" s="35">
        <f>IF(BC24="",1,VLOOKUP(BC24,data!$C$3:$D$10,2,FALSE))*(1+BD24)</f>
        <v>1</v>
      </c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38"/>
      <c r="BD24" s="44"/>
      <c r="BE24" s="44"/>
      <c r="BF24" s="43">
        <f t="shared" si="2"/>
        <v>0</v>
      </c>
      <c r="BG24" s="43">
        <f t="shared" si="3"/>
        <v>0</v>
      </c>
      <c r="BH24" s="43">
        <f t="shared" si="4"/>
        <v>0</v>
      </c>
      <c r="BI24" s="43">
        <f t="shared" si="21"/>
        <v>0</v>
      </c>
      <c r="BJ24" s="43">
        <f t="shared" si="22"/>
        <v>0</v>
      </c>
      <c r="BL24" s="45">
        <f t="shared" si="23"/>
        <v>0</v>
      </c>
      <c r="BM24" s="45">
        <f t="shared" si="24"/>
        <v>0</v>
      </c>
      <c r="BN24" s="45">
        <f t="shared" si="25"/>
        <v>0</v>
      </c>
      <c r="BO24" s="45">
        <f t="shared" si="26"/>
        <v>0</v>
      </c>
      <c r="BP24" s="45">
        <f t="shared" si="27"/>
        <v>0</v>
      </c>
      <c r="BQ24" s="45">
        <f t="shared" si="5"/>
        <v>0</v>
      </c>
    </row>
    <row r="25" spans="1:69" ht="12.75" customHeight="1">
      <c r="A25" s="38"/>
      <c r="B25" s="39"/>
      <c r="C25" s="40"/>
      <c r="D25" s="41"/>
      <c r="E25" s="42">
        <f t="shared" si="6"/>
      </c>
      <c r="F25" s="42">
        <f t="shared" si="7"/>
      </c>
      <c r="G25" s="132"/>
      <c r="H25" s="43">
        <f>SUMIF(time100,D25,data!$L$16:$L$21)</f>
        <v>0</v>
      </c>
      <c r="I25" s="89">
        <f t="shared" si="8"/>
        <v>0</v>
      </c>
      <c r="J25" s="249">
        <f t="shared" si="1"/>
        <v>0</v>
      </c>
      <c r="K25" s="33" t="b">
        <f t="shared" si="9"/>
        <v>0</v>
      </c>
      <c r="L25" s="35">
        <f t="shared" si="10"/>
        <v>0</v>
      </c>
      <c r="M25" s="33" t="b">
        <f t="shared" si="11"/>
        <v>0</v>
      </c>
      <c r="N25" s="35">
        <f t="shared" si="12"/>
        <v>0</v>
      </c>
      <c r="O25" s="33" t="b">
        <f t="shared" si="13"/>
        <v>0</v>
      </c>
      <c r="P25" s="35">
        <f t="shared" si="14"/>
        <v>0</v>
      </c>
      <c r="Q25" s="33" t="b">
        <f t="shared" si="15"/>
        <v>0</v>
      </c>
      <c r="R25" s="35">
        <f t="shared" si="16"/>
        <v>0</v>
      </c>
      <c r="S25" s="33" t="b">
        <f t="shared" si="17"/>
        <v>0</v>
      </c>
      <c r="T25" s="35">
        <f t="shared" si="18"/>
        <v>0</v>
      </c>
      <c r="U25" s="33" t="b">
        <f t="shared" si="19"/>
        <v>0</v>
      </c>
      <c r="V25" s="35">
        <f t="shared" si="20"/>
        <v>0</v>
      </c>
      <c r="W25" s="35">
        <f>IF(BC25="",1,VLOOKUP(BC25,data!$C$3:$D$10,2,FALSE))*(1+BD25)</f>
        <v>1</v>
      </c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38"/>
      <c r="BD25" s="44"/>
      <c r="BE25" s="44"/>
      <c r="BF25" s="43">
        <f t="shared" si="2"/>
        <v>0</v>
      </c>
      <c r="BG25" s="43">
        <f t="shared" si="3"/>
        <v>0</v>
      </c>
      <c r="BH25" s="43">
        <f t="shared" si="4"/>
        <v>0</v>
      </c>
      <c r="BI25" s="43">
        <f t="shared" si="21"/>
        <v>0</v>
      </c>
      <c r="BJ25" s="43">
        <f t="shared" si="22"/>
        <v>0</v>
      </c>
      <c r="BL25" s="45">
        <f t="shared" si="23"/>
        <v>0</v>
      </c>
      <c r="BM25" s="45">
        <f t="shared" si="24"/>
        <v>0</v>
      </c>
      <c r="BN25" s="45">
        <f t="shared" si="25"/>
        <v>0</v>
      </c>
      <c r="BO25" s="45">
        <f t="shared" si="26"/>
        <v>0</v>
      </c>
      <c r="BP25" s="45">
        <f t="shared" si="27"/>
        <v>0</v>
      </c>
      <c r="BQ25" s="45">
        <f t="shared" si="5"/>
        <v>0</v>
      </c>
    </row>
    <row r="26" spans="1:69" ht="12.75" customHeight="1">
      <c r="A26" s="38"/>
      <c r="B26" s="39"/>
      <c r="C26" s="40"/>
      <c r="D26" s="41"/>
      <c r="E26" s="42">
        <f t="shared" si="6"/>
      </c>
      <c r="F26" s="42">
        <f t="shared" si="7"/>
      </c>
      <c r="G26" s="132"/>
      <c r="H26" s="43">
        <f>SUMIF(time100,D26,data!$L$16:$L$21)</f>
        <v>0</v>
      </c>
      <c r="I26" s="89">
        <f t="shared" si="8"/>
        <v>0</v>
      </c>
      <c r="J26" s="249">
        <f t="shared" si="1"/>
        <v>0</v>
      </c>
      <c r="K26" s="33" t="b">
        <f t="shared" si="9"/>
        <v>0</v>
      </c>
      <c r="L26" s="35">
        <f t="shared" si="10"/>
        <v>0</v>
      </c>
      <c r="M26" s="33" t="b">
        <f t="shared" si="11"/>
        <v>0</v>
      </c>
      <c r="N26" s="35">
        <f t="shared" si="12"/>
        <v>0</v>
      </c>
      <c r="O26" s="33" t="b">
        <f t="shared" si="13"/>
        <v>0</v>
      </c>
      <c r="P26" s="35">
        <f t="shared" si="14"/>
        <v>0</v>
      </c>
      <c r="Q26" s="33" t="b">
        <f t="shared" si="15"/>
        <v>0</v>
      </c>
      <c r="R26" s="35">
        <f t="shared" si="16"/>
        <v>0</v>
      </c>
      <c r="S26" s="33" t="b">
        <f t="shared" si="17"/>
        <v>0</v>
      </c>
      <c r="T26" s="35">
        <f t="shared" si="18"/>
        <v>0</v>
      </c>
      <c r="U26" s="33" t="b">
        <f t="shared" si="19"/>
        <v>0</v>
      </c>
      <c r="V26" s="35">
        <f t="shared" si="20"/>
        <v>0</v>
      </c>
      <c r="W26" s="35">
        <f>IF(BC26="",1,VLOOKUP(BC26,data!$C$3:$D$10,2,FALSE))*(1+BD26)</f>
        <v>1</v>
      </c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38"/>
      <c r="BD26" s="44"/>
      <c r="BE26" s="44"/>
      <c r="BF26" s="43">
        <f t="shared" si="2"/>
        <v>0</v>
      </c>
      <c r="BG26" s="43">
        <f t="shared" si="3"/>
        <v>0</v>
      </c>
      <c r="BH26" s="43">
        <f t="shared" si="4"/>
        <v>0</v>
      </c>
      <c r="BI26" s="43">
        <f t="shared" si="21"/>
        <v>0</v>
      </c>
      <c r="BJ26" s="43">
        <f t="shared" si="22"/>
        <v>0</v>
      </c>
      <c r="BL26" s="45">
        <f t="shared" si="23"/>
        <v>0</v>
      </c>
      <c r="BM26" s="45">
        <f t="shared" si="24"/>
        <v>0</v>
      </c>
      <c r="BN26" s="45">
        <f t="shared" si="25"/>
        <v>0</v>
      </c>
      <c r="BO26" s="45">
        <f t="shared" si="26"/>
        <v>0</v>
      </c>
      <c r="BP26" s="45">
        <f t="shared" si="27"/>
        <v>0</v>
      </c>
      <c r="BQ26" s="45">
        <f t="shared" si="5"/>
        <v>0</v>
      </c>
    </row>
    <row r="27" spans="1:69" ht="12.75" customHeight="1">
      <c r="A27" s="38"/>
      <c r="B27" s="39"/>
      <c r="C27" s="40"/>
      <c r="D27" s="41"/>
      <c r="E27" s="42">
        <f t="shared" si="6"/>
      </c>
      <c r="F27" s="42">
        <f t="shared" si="7"/>
      </c>
      <c r="G27" s="132"/>
      <c r="H27" s="43">
        <f>SUMIF(time100,D27,data!$L$16:$L$21)</f>
        <v>0</v>
      </c>
      <c r="I27" s="89">
        <f t="shared" si="8"/>
        <v>0</v>
      </c>
      <c r="J27" s="249">
        <f t="shared" si="1"/>
        <v>0</v>
      </c>
      <c r="K27" s="33" t="b">
        <f t="shared" si="9"/>
        <v>0</v>
      </c>
      <c r="L27" s="35">
        <f t="shared" si="10"/>
        <v>0</v>
      </c>
      <c r="M27" s="33" t="b">
        <f t="shared" si="11"/>
        <v>0</v>
      </c>
      <c r="N27" s="35">
        <f t="shared" si="12"/>
        <v>0</v>
      </c>
      <c r="O27" s="33" t="b">
        <f t="shared" si="13"/>
        <v>0</v>
      </c>
      <c r="P27" s="35">
        <f t="shared" si="14"/>
        <v>0</v>
      </c>
      <c r="Q27" s="33" t="b">
        <f t="shared" si="15"/>
        <v>0</v>
      </c>
      <c r="R27" s="35">
        <f t="shared" si="16"/>
        <v>0</v>
      </c>
      <c r="S27" s="33" t="b">
        <f t="shared" si="17"/>
        <v>0</v>
      </c>
      <c r="T27" s="35">
        <f t="shared" si="18"/>
        <v>0</v>
      </c>
      <c r="U27" s="33" t="b">
        <f t="shared" si="19"/>
        <v>0</v>
      </c>
      <c r="V27" s="35">
        <f t="shared" si="20"/>
        <v>0</v>
      </c>
      <c r="W27" s="35">
        <f>IF(BC27="",1,VLOOKUP(BC27,data!$C$3:$D$10,2,FALSE))*(1+BD27)</f>
        <v>1</v>
      </c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38"/>
      <c r="BD27" s="44"/>
      <c r="BE27" s="44"/>
      <c r="BF27" s="43">
        <f t="shared" si="2"/>
        <v>0</v>
      </c>
      <c r="BG27" s="43">
        <f t="shared" si="3"/>
        <v>0</v>
      </c>
      <c r="BH27" s="43">
        <f t="shared" si="4"/>
        <v>0</v>
      </c>
      <c r="BI27" s="43">
        <f t="shared" si="21"/>
        <v>0</v>
      </c>
      <c r="BJ27" s="43">
        <f t="shared" si="22"/>
        <v>0</v>
      </c>
      <c r="BL27" s="45">
        <f t="shared" si="23"/>
        <v>0</v>
      </c>
      <c r="BM27" s="45">
        <f t="shared" si="24"/>
        <v>0</v>
      </c>
      <c r="BN27" s="45">
        <f t="shared" si="25"/>
        <v>0</v>
      </c>
      <c r="BO27" s="45">
        <f t="shared" si="26"/>
        <v>0</v>
      </c>
      <c r="BP27" s="45">
        <f t="shared" si="27"/>
        <v>0</v>
      </c>
      <c r="BQ27" s="45">
        <f t="shared" si="5"/>
        <v>0</v>
      </c>
    </row>
    <row r="28" spans="1:69" ht="12.75" customHeight="1">
      <c r="A28" s="38"/>
      <c r="B28" s="39"/>
      <c r="C28" s="40"/>
      <c r="D28" s="41"/>
      <c r="E28" s="42">
        <f t="shared" si="6"/>
      </c>
      <c r="F28" s="42">
        <f t="shared" si="7"/>
      </c>
      <c r="G28" s="132"/>
      <c r="H28" s="43">
        <f>SUMIF(time100,D28,data!$L$16:$L$21)</f>
        <v>0</v>
      </c>
      <c r="I28" s="89">
        <f t="shared" si="8"/>
        <v>0</v>
      </c>
      <c r="J28" s="249">
        <f t="shared" si="1"/>
        <v>0</v>
      </c>
      <c r="K28" s="33" t="b">
        <f t="shared" si="9"/>
        <v>0</v>
      </c>
      <c r="L28" s="35">
        <f t="shared" si="10"/>
        <v>0</v>
      </c>
      <c r="M28" s="33" t="b">
        <f t="shared" si="11"/>
        <v>0</v>
      </c>
      <c r="N28" s="35">
        <f t="shared" si="12"/>
        <v>0</v>
      </c>
      <c r="O28" s="33" t="b">
        <f t="shared" si="13"/>
        <v>0</v>
      </c>
      <c r="P28" s="35">
        <f t="shared" si="14"/>
        <v>0</v>
      </c>
      <c r="Q28" s="33" t="b">
        <f t="shared" si="15"/>
        <v>0</v>
      </c>
      <c r="R28" s="35">
        <f t="shared" si="16"/>
        <v>0</v>
      </c>
      <c r="S28" s="33" t="b">
        <f t="shared" si="17"/>
        <v>0</v>
      </c>
      <c r="T28" s="35">
        <f t="shared" si="18"/>
        <v>0</v>
      </c>
      <c r="U28" s="33" t="b">
        <f t="shared" si="19"/>
        <v>0</v>
      </c>
      <c r="V28" s="35">
        <f t="shared" si="20"/>
        <v>0</v>
      </c>
      <c r="W28" s="35">
        <f>IF(BC28="",1,VLOOKUP(BC28,data!$C$3:$D$10,2,FALSE))*(1+BD28)</f>
        <v>1</v>
      </c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38"/>
      <c r="BD28" s="44"/>
      <c r="BE28" s="44"/>
      <c r="BF28" s="43">
        <f t="shared" si="2"/>
        <v>0</v>
      </c>
      <c r="BG28" s="43">
        <f t="shared" si="3"/>
        <v>0</v>
      </c>
      <c r="BH28" s="43">
        <f t="shared" si="4"/>
        <v>0</v>
      </c>
      <c r="BI28" s="43">
        <f t="shared" si="21"/>
        <v>0</v>
      </c>
      <c r="BJ28" s="43">
        <f t="shared" si="22"/>
        <v>0</v>
      </c>
      <c r="BL28" s="45">
        <f t="shared" si="23"/>
        <v>0</v>
      </c>
      <c r="BM28" s="45">
        <f t="shared" si="24"/>
        <v>0</v>
      </c>
      <c r="BN28" s="45">
        <f t="shared" si="25"/>
        <v>0</v>
      </c>
      <c r="BO28" s="45">
        <f t="shared" si="26"/>
        <v>0</v>
      </c>
      <c r="BP28" s="45">
        <f t="shared" si="27"/>
        <v>0</v>
      </c>
      <c r="BQ28" s="45">
        <f t="shared" si="5"/>
        <v>0</v>
      </c>
    </row>
    <row r="29" spans="1:69" ht="12.75" customHeight="1">
      <c r="A29" s="38"/>
      <c r="B29" s="39"/>
      <c r="C29" s="40"/>
      <c r="D29" s="41"/>
      <c r="E29" s="42">
        <f t="shared" si="6"/>
      </c>
      <c r="F29" s="42">
        <f t="shared" si="7"/>
      </c>
      <c r="G29" s="132"/>
      <c r="H29" s="43">
        <f>SUMIF(time100,D29,data!$L$16:$L$21)</f>
        <v>0</v>
      </c>
      <c r="I29" s="89">
        <f t="shared" si="8"/>
        <v>0</v>
      </c>
      <c r="J29" s="249">
        <f t="shared" si="1"/>
        <v>0</v>
      </c>
      <c r="K29" s="33" t="b">
        <f t="shared" si="9"/>
        <v>0</v>
      </c>
      <c r="L29" s="35">
        <f t="shared" si="10"/>
        <v>0</v>
      </c>
      <c r="M29" s="33" t="b">
        <f t="shared" si="11"/>
        <v>0</v>
      </c>
      <c r="N29" s="35">
        <f t="shared" si="12"/>
        <v>0</v>
      </c>
      <c r="O29" s="33" t="b">
        <f t="shared" si="13"/>
        <v>0</v>
      </c>
      <c r="P29" s="35">
        <f t="shared" si="14"/>
        <v>0</v>
      </c>
      <c r="Q29" s="33" t="b">
        <f t="shared" si="15"/>
        <v>0</v>
      </c>
      <c r="R29" s="35">
        <f t="shared" si="16"/>
        <v>0</v>
      </c>
      <c r="S29" s="33" t="b">
        <f t="shared" si="17"/>
        <v>0</v>
      </c>
      <c r="T29" s="35">
        <f t="shared" si="18"/>
        <v>0</v>
      </c>
      <c r="U29" s="33" t="b">
        <f t="shared" si="19"/>
        <v>0</v>
      </c>
      <c r="V29" s="35">
        <f t="shared" si="20"/>
        <v>0</v>
      </c>
      <c r="W29" s="35">
        <f>IF(BC29="",1,VLOOKUP(BC29,data!$C$3:$D$10,2,FALSE))*(1+BD29)</f>
        <v>1</v>
      </c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38"/>
      <c r="BD29" s="44"/>
      <c r="BE29" s="44"/>
      <c r="BF29" s="43">
        <f t="shared" si="2"/>
        <v>0</v>
      </c>
      <c r="BG29" s="43">
        <f t="shared" si="3"/>
        <v>0</v>
      </c>
      <c r="BH29" s="43">
        <f t="shared" si="4"/>
        <v>0</v>
      </c>
      <c r="BI29" s="43">
        <f t="shared" si="21"/>
        <v>0</v>
      </c>
      <c r="BJ29" s="43">
        <f t="shared" si="22"/>
        <v>0</v>
      </c>
      <c r="BL29" s="45">
        <f t="shared" si="23"/>
        <v>0</v>
      </c>
      <c r="BM29" s="45">
        <f t="shared" si="24"/>
        <v>0</v>
      </c>
      <c r="BN29" s="45">
        <f t="shared" si="25"/>
        <v>0</v>
      </c>
      <c r="BO29" s="45">
        <f t="shared" si="26"/>
        <v>0</v>
      </c>
      <c r="BP29" s="45">
        <f t="shared" si="27"/>
        <v>0</v>
      </c>
      <c r="BQ29" s="45">
        <f t="shared" si="5"/>
        <v>0</v>
      </c>
    </row>
    <row r="30" spans="1:69" ht="12.75" customHeight="1">
      <c r="A30" s="38"/>
      <c r="B30" s="39"/>
      <c r="C30" s="40"/>
      <c r="D30" s="41"/>
      <c r="E30" s="42">
        <f t="shared" si="6"/>
      </c>
      <c r="F30" s="42">
        <f t="shared" si="7"/>
      </c>
      <c r="G30" s="132"/>
      <c r="H30" s="43">
        <f>SUMIF(time100,D30,data!$L$16:$L$21)</f>
        <v>0</v>
      </c>
      <c r="I30" s="89">
        <f t="shared" si="8"/>
        <v>0</v>
      </c>
      <c r="J30" s="249">
        <f t="shared" si="1"/>
        <v>0</v>
      </c>
      <c r="K30" s="33" t="b">
        <f t="shared" si="9"/>
        <v>0</v>
      </c>
      <c r="L30" s="35">
        <f t="shared" si="10"/>
        <v>0</v>
      </c>
      <c r="M30" s="33" t="b">
        <f t="shared" si="11"/>
        <v>0</v>
      </c>
      <c r="N30" s="35">
        <f t="shared" si="12"/>
        <v>0</v>
      </c>
      <c r="O30" s="33" t="b">
        <f t="shared" si="13"/>
        <v>0</v>
      </c>
      <c r="P30" s="35">
        <f t="shared" si="14"/>
        <v>0</v>
      </c>
      <c r="Q30" s="33" t="b">
        <f t="shared" si="15"/>
        <v>0</v>
      </c>
      <c r="R30" s="35">
        <f t="shared" si="16"/>
        <v>0</v>
      </c>
      <c r="S30" s="33" t="b">
        <f t="shared" si="17"/>
        <v>0</v>
      </c>
      <c r="T30" s="35">
        <f t="shared" si="18"/>
        <v>0</v>
      </c>
      <c r="U30" s="33" t="b">
        <f t="shared" si="19"/>
        <v>0</v>
      </c>
      <c r="V30" s="35">
        <f t="shared" si="20"/>
        <v>0</v>
      </c>
      <c r="W30" s="35">
        <f>IF(BC30="",1,VLOOKUP(BC30,data!$C$3:$D$10,2,FALSE))*(1+BD30)</f>
        <v>1</v>
      </c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38"/>
      <c r="BD30" s="44"/>
      <c r="BE30" s="44"/>
      <c r="BF30" s="43">
        <f t="shared" si="2"/>
        <v>0</v>
      </c>
      <c r="BG30" s="43">
        <f t="shared" si="3"/>
        <v>0</v>
      </c>
      <c r="BH30" s="43">
        <f t="shared" si="4"/>
        <v>0</v>
      </c>
      <c r="BI30" s="43">
        <f t="shared" si="21"/>
        <v>0</v>
      </c>
      <c r="BJ30" s="43">
        <f t="shared" si="22"/>
        <v>0</v>
      </c>
      <c r="BL30" s="45">
        <f t="shared" si="23"/>
        <v>0</v>
      </c>
      <c r="BM30" s="45">
        <f t="shared" si="24"/>
        <v>0</v>
      </c>
      <c r="BN30" s="45">
        <f t="shared" si="25"/>
        <v>0</v>
      </c>
      <c r="BO30" s="45">
        <f t="shared" si="26"/>
        <v>0</v>
      </c>
      <c r="BP30" s="45">
        <f t="shared" si="27"/>
        <v>0</v>
      </c>
      <c r="BQ30" s="45">
        <f t="shared" si="5"/>
        <v>0</v>
      </c>
    </row>
    <row r="31" spans="1:69" ht="12.75" customHeight="1">
      <c r="A31" s="38"/>
      <c r="B31" s="39"/>
      <c r="C31" s="40"/>
      <c r="D31" s="41"/>
      <c r="E31" s="42">
        <f t="shared" si="6"/>
      </c>
      <c r="F31" s="42">
        <f t="shared" si="7"/>
      </c>
      <c r="G31" s="132"/>
      <c r="H31" s="43">
        <f>SUMIF(time100,D31,data!$L$16:$L$21)</f>
        <v>0</v>
      </c>
      <c r="I31" s="89">
        <f t="shared" si="8"/>
        <v>0</v>
      </c>
      <c r="J31" s="249">
        <f t="shared" si="1"/>
        <v>0</v>
      </c>
      <c r="K31" s="33" t="b">
        <f t="shared" si="9"/>
        <v>0</v>
      </c>
      <c r="L31" s="35">
        <f t="shared" si="10"/>
        <v>0</v>
      </c>
      <c r="M31" s="33" t="b">
        <f t="shared" si="11"/>
        <v>0</v>
      </c>
      <c r="N31" s="35">
        <f t="shared" si="12"/>
        <v>0</v>
      </c>
      <c r="O31" s="33" t="b">
        <f t="shared" si="13"/>
        <v>0</v>
      </c>
      <c r="P31" s="35">
        <f t="shared" si="14"/>
        <v>0</v>
      </c>
      <c r="Q31" s="33" t="b">
        <f t="shared" si="15"/>
        <v>0</v>
      </c>
      <c r="R31" s="35">
        <f t="shared" si="16"/>
        <v>0</v>
      </c>
      <c r="S31" s="33" t="b">
        <f t="shared" si="17"/>
        <v>0</v>
      </c>
      <c r="T31" s="35">
        <f t="shared" si="18"/>
        <v>0</v>
      </c>
      <c r="U31" s="33" t="b">
        <f t="shared" si="19"/>
        <v>0</v>
      </c>
      <c r="V31" s="35">
        <f t="shared" si="20"/>
        <v>0</v>
      </c>
      <c r="W31" s="35">
        <f>IF(BC31="",1,VLOOKUP(BC31,data!$C$3:$D$10,2,FALSE))*(1+BD31)</f>
        <v>1</v>
      </c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38"/>
      <c r="BD31" s="44"/>
      <c r="BE31" s="44"/>
      <c r="BF31" s="43">
        <f t="shared" si="2"/>
        <v>0</v>
      </c>
      <c r="BG31" s="43">
        <f t="shared" si="3"/>
        <v>0</v>
      </c>
      <c r="BH31" s="43">
        <f t="shared" si="4"/>
        <v>0</v>
      </c>
      <c r="BI31" s="43">
        <f t="shared" si="21"/>
        <v>0</v>
      </c>
      <c r="BJ31" s="43">
        <f t="shared" si="22"/>
        <v>0</v>
      </c>
      <c r="BL31" s="45">
        <f t="shared" si="23"/>
        <v>0</v>
      </c>
      <c r="BM31" s="45">
        <f t="shared" si="24"/>
        <v>0</v>
      </c>
      <c r="BN31" s="45">
        <f t="shared" si="25"/>
        <v>0</v>
      </c>
      <c r="BO31" s="45">
        <f t="shared" si="26"/>
        <v>0</v>
      </c>
      <c r="BP31" s="45">
        <f t="shared" si="27"/>
        <v>0</v>
      </c>
      <c r="BQ31" s="45">
        <f t="shared" si="5"/>
        <v>0</v>
      </c>
    </row>
    <row r="32" spans="1:69" s="76" customFormat="1" ht="12.75" customHeight="1">
      <c r="A32" s="68"/>
      <c r="B32" s="69"/>
      <c r="C32" s="69"/>
      <c r="D32" s="70"/>
      <c r="E32" s="70"/>
      <c r="F32" s="70"/>
      <c r="G32" s="71"/>
      <c r="H32" s="176" t="s">
        <v>104</v>
      </c>
      <c r="I32" s="176">
        <f>SUM(I12:I31)</f>
        <v>0</v>
      </c>
      <c r="J32" s="177">
        <f>SUM(J12:J31)</f>
        <v>0</v>
      </c>
      <c r="K32" s="72"/>
      <c r="L32" s="72">
        <f>SUM(L12:L31)</f>
        <v>0</v>
      </c>
      <c r="M32" s="72"/>
      <c r="N32" s="72">
        <f>SUM(N12:N31)</f>
        <v>0</v>
      </c>
      <c r="O32" s="72"/>
      <c r="P32" s="72">
        <f>SUM(P12:P31)</f>
        <v>0</v>
      </c>
      <c r="Q32" s="72"/>
      <c r="R32" s="72">
        <f>SUM(R12:R31)</f>
        <v>0</v>
      </c>
      <c r="S32" s="72"/>
      <c r="T32" s="72">
        <f>SUM(T12:T31)</f>
        <v>0</v>
      </c>
      <c r="U32" s="72"/>
      <c r="V32" s="72">
        <f>SUM(V12:V31)</f>
        <v>0</v>
      </c>
      <c r="W32" s="73"/>
      <c r="X32" s="74">
        <f>COUNTA(X12:X31)</f>
        <v>0</v>
      </c>
      <c r="Y32" s="74">
        <f aca="true" t="shared" si="28" ref="Y32:BB32">COUNTA(Y12:Y31)</f>
        <v>0</v>
      </c>
      <c r="Z32" s="74">
        <f t="shared" si="28"/>
        <v>0</v>
      </c>
      <c r="AA32" s="74">
        <f t="shared" si="28"/>
        <v>0</v>
      </c>
      <c r="AB32" s="74">
        <f t="shared" si="28"/>
        <v>0</v>
      </c>
      <c r="AC32" s="74">
        <f t="shared" si="28"/>
        <v>0</v>
      </c>
      <c r="AD32" s="74">
        <f t="shared" si="28"/>
        <v>0</v>
      </c>
      <c r="AE32" s="74">
        <f t="shared" si="28"/>
        <v>0</v>
      </c>
      <c r="AF32" s="74">
        <f t="shared" si="28"/>
        <v>0</v>
      </c>
      <c r="AG32" s="74">
        <f t="shared" si="28"/>
        <v>0</v>
      </c>
      <c r="AH32" s="74">
        <f t="shared" si="28"/>
        <v>0</v>
      </c>
      <c r="AI32" s="74">
        <f t="shared" si="28"/>
        <v>0</v>
      </c>
      <c r="AJ32" s="74">
        <f t="shared" si="28"/>
        <v>0</v>
      </c>
      <c r="AK32" s="74">
        <f t="shared" si="28"/>
        <v>0</v>
      </c>
      <c r="AL32" s="74">
        <f t="shared" si="28"/>
        <v>0</v>
      </c>
      <c r="AM32" s="74">
        <f t="shared" si="28"/>
        <v>0</v>
      </c>
      <c r="AN32" s="74">
        <f t="shared" si="28"/>
        <v>0</v>
      </c>
      <c r="AO32" s="74">
        <f t="shared" si="28"/>
        <v>0</v>
      </c>
      <c r="AP32" s="74">
        <f t="shared" si="28"/>
        <v>0</v>
      </c>
      <c r="AQ32" s="74">
        <f t="shared" si="28"/>
        <v>0</v>
      </c>
      <c r="AR32" s="74">
        <f t="shared" si="28"/>
        <v>0</v>
      </c>
      <c r="AS32" s="74">
        <f t="shared" si="28"/>
        <v>0</v>
      </c>
      <c r="AT32" s="74">
        <f t="shared" si="28"/>
        <v>0</v>
      </c>
      <c r="AU32" s="74">
        <f t="shared" si="28"/>
        <v>0</v>
      </c>
      <c r="AV32" s="74">
        <f t="shared" si="28"/>
        <v>0</v>
      </c>
      <c r="AW32" s="74">
        <f t="shared" si="28"/>
        <v>0</v>
      </c>
      <c r="AX32" s="74">
        <f t="shared" si="28"/>
        <v>0</v>
      </c>
      <c r="AY32" s="74">
        <f t="shared" si="28"/>
        <v>0</v>
      </c>
      <c r="AZ32" s="74">
        <f t="shared" si="28"/>
        <v>0</v>
      </c>
      <c r="BA32" s="74">
        <f t="shared" si="28"/>
        <v>0</v>
      </c>
      <c r="BB32" s="74">
        <f t="shared" si="28"/>
        <v>0</v>
      </c>
      <c r="BC32" s="69"/>
      <c r="BD32" s="69"/>
      <c r="BE32" s="75"/>
      <c r="BF32" s="75"/>
      <c r="BG32" s="75"/>
      <c r="BH32" s="150">
        <f>SUM(BH12:BH31)</f>
        <v>0</v>
      </c>
      <c r="BI32" s="150">
        <f>SUM(BI12:BI31)</f>
        <v>0</v>
      </c>
      <c r="BJ32" s="150">
        <f>SUM(BJ12:BJ31)</f>
        <v>0</v>
      </c>
      <c r="BL32" s="77"/>
      <c r="BM32" s="77"/>
      <c r="BN32" s="77"/>
      <c r="BO32" s="77"/>
      <c r="BP32" s="77"/>
      <c r="BQ32" s="77"/>
    </row>
    <row r="33" spans="1:62" s="76" customFormat="1" ht="9.75" customHeight="1">
      <c r="A33" s="75"/>
      <c r="B33" s="75"/>
      <c r="C33" s="78"/>
      <c r="D33" s="78"/>
      <c r="E33" s="78"/>
      <c r="F33" s="78"/>
      <c r="G33" s="78"/>
      <c r="H33" s="119"/>
      <c r="I33" s="119"/>
      <c r="J33" s="129" t="str">
        <f>IF($B$2="BG","Бюджет по седмици","Budget per week")</f>
        <v>Бюджет по седмици</v>
      </c>
      <c r="K33" s="121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79"/>
      <c r="X33" s="295">
        <f>SUM(BL12:BL31)</f>
        <v>0</v>
      </c>
      <c r="Y33" s="296"/>
      <c r="Z33" s="297"/>
      <c r="AA33" s="298">
        <f>SUM(BM12:BM31)</f>
        <v>0</v>
      </c>
      <c r="AB33" s="299"/>
      <c r="AC33" s="299"/>
      <c r="AD33" s="299"/>
      <c r="AE33" s="299"/>
      <c r="AF33" s="299"/>
      <c r="AG33" s="300"/>
      <c r="AH33" s="298">
        <f>SUM(BN12:BN31)</f>
        <v>0</v>
      </c>
      <c r="AI33" s="299"/>
      <c r="AJ33" s="299"/>
      <c r="AK33" s="299"/>
      <c r="AL33" s="299"/>
      <c r="AM33" s="299"/>
      <c r="AN33" s="300"/>
      <c r="AO33" s="295">
        <f>SUM(BO12:BO31)</f>
        <v>0</v>
      </c>
      <c r="AP33" s="296"/>
      <c r="AQ33" s="296"/>
      <c r="AR33" s="296"/>
      <c r="AS33" s="296"/>
      <c r="AT33" s="296"/>
      <c r="AU33" s="297"/>
      <c r="AV33" s="289">
        <f>SUM(BP12:BP31)</f>
        <v>0</v>
      </c>
      <c r="AW33" s="290"/>
      <c r="AX33" s="290"/>
      <c r="AY33" s="290"/>
      <c r="AZ33" s="290"/>
      <c r="BA33" s="290"/>
      <c r="BB33" s="291"/>
      <c r="BC33" s="78"/>
      <c r="BD33" s="78"/>
      <c r="BE33" s="78"/>
      <c r="BF33" s="78"/>
      <c r="BG33" s="78"/>
      <c r="BH33" s="78"/>
      <c r="BI33" s="78"/>
      <c r="BJ33" s="78"/>
    </row>
    <row r="34" spans="1:62" s="76" customFormat="1" ht="9.75" customHeight="1">
      <c r="A34" s="78"/>
      <c r="B34" s="78"/>
      <c r="C34" s="78"/>
      <c r="D34" s="78"/>
      <c r="E34" s="78"/>
      <c r="F34" s="78"/>
      <c r="G34" s="78"/>
      <c r="H34" s="120"/>
      <c r="I34" s="120"/>
      <c r="J34" s="119" t="str">
        <f>IF($B$2="BG","Брой излъчвания по седмици","Number per week")</f>
        <v>Брой излъчвания по седмици</v>
      </c>
      <c r="K34" s="118"/>
      <c r="L34" s="118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79"/>
      <c r="X34" s="286">
        <f>SUM(W32:Z32)</f>
        <v>0</v>
      </c>
      <c r="Y34" s="287"/>
      <c r="Z34" s="288"/>
      <c r="AA34" s="286">
        <f>SUM(AA32:AG32,)</f>
        <v>0</v>
      </c>
      <c r="AB34" s="287"/>
      <c r="AC34" s="287"/>
      <c r="AD34" s="287"/>
      <c r="AE34" s="287"/>
      <c r="AF34" s="287"/>
      <c r="AG34" s="288"/>
      <c r="AH34" s="286">
        <f>SUM(AH32:AN32)</f>
        <v>0</v>
      </c>
      <c r="AI34" s="287"/>
      <c r="AJ34" s="287"/>
      <c r="AK34" s="287"/>
      <c r="AL34" s="287"/>
      <c r="AM34" s="287"/>
      <c r="AN34" s="288"/>
      <c r="AO34" s="286">
        <f>SUM(AO32:AU32)</f>
        <v>0</v>
      </c>
      <c r="AP34" s="287"/>
      <c r="AQ34" s="287"/>
      <c r="AR34" s="287"/>
      <c r="AS34" s="287"/>
      <c r="AT34" s="287"/>
      <c r="AU34" s="288"/>
      <c r="AV34" s="286">
        <f>SUM(AV32:BB32)</f>
        <v>0</v>
      </c>
      <c r="AW34" s="287"/>
      <c r="AX34" s="287"/>
      <c r="AY34" s="287"/>
      <c r="AZ34" s="287"/>
      <c r="BA34" s="287"/>
      <c r="BB34" s="288"/>
      <c r="BC34" s="78"/>
      <c r="BD34" s="78"/>
      <c r="BE34" s="78"/>
      <c r="BF34" s="78"/>
      <c r="BG34" s="78"/>
      <c r="BH34" s="78"/>
      <c r="BI34" s="78"/>
      <c r="BJ34" s="78"/>
    </row>
    <row r="35" spans="9:54" s="76" customFormat="1" ht="9.75" customHeight="1">
      <c r="I35" s="277" t="str">
        <f>IF($B$2="BG","Обща сума утежнения","Total surcharge")</f>
        <v>Обща сума утежнения</v>
      </c>
      <c r="J35" s="277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286">
        <f>BJ32</f>
        <v>0</v>
      </c>
      <c r="Y35" s="287"/>
      <c r="Z35" s="287"/>
      <c r="AA35" s="287"/>
      <c r="AB35" s="287"/>
      <c r="AC35" s="287"/>
      <c r="AD35" s="287"/>
      <c r="AE35" s="287"/>
      <c r="AF35" s="287"/>
      <c r="AG35" s="287"/>
      <c r="AH35" s="287"/>
      <c r="AI35" s="287"/>
      <c r="AJ35" s="287"/>
      <c r="AK35" s="287"/>
      <c r="AL35" s="287"/>
      <c r="AM35" s="287"/>
      <c r="AN35" s="287"/>
      <c r="AO35" s="287"/>
      <c r="AP35" s="287"/>
      <c r="AQ35" s="287"/>
      <c r="AR35" s="287"/>
      <c r="AS35" s="287"/>
      <c r="AT35" s="287"/>
      <c r="AU35" s="287"/>
      <c r="AV35" s="287"/>
      <c r="AW35" s="287"/>
      <c r="AX35" s="287"/>
      <c r="AY35" s="287"/>
      <c r="AZ35" s="287"/>
      <c r="BA35" s="287"/>
      <c r="BB35" s="288"/>
    </row>
    <row r="36" spans="1:10" ht="17.25" customHeight="1">
      <c r="A36" s="275" t="str">
        <f>IF($B$2="BG","Отстъпки","Discounts")</f>
        <v>Отстъпки</v>
      </c>
      <c r="B36" s="149" t="str">
        <f>IF($B$2="BG","Брутна сума","Gross budget")</f>
        <v>Брутна сума</v>
      </c>
      <c r="H36" s="51"/>
      <c r="I36" s="51"/>
      <c r="J36" s="51"/>
    </row>
    <row r="37" spans="1:59" ht="13.5" customHeight="1">
      <c r="A37" s="276"/>
      <c r="B37" s="171">
        <f>J32</f>
        <v>0</v>
      </c>
      <c r="C37" s="278" t="str">
        <f>IF($B$2="BG","Разпределение на бюджета по канали и PT/OPT","Budget Distribution by Channel and PT/OPT")</f>
        <v>Разпределение на бюджета по канали и PT/OPT</v>
      </c>
      <c r="D37" s="279"/>
      <c r="E37" s="279"/>
      <c r="F37" s="279"/>
      <c r="G37" s="279"/>
      <c r="H37" s="279"/>
      <c r="I37" s="280"/>
      <c r="J37" s="51"/>
      <c r="K37" s="51"/>
      <c r="L37" s="51"/>
      <c r="M37" s="51"/>
      <c r="N37" s="51"/>
      <c r="O37" s="51"/>
      <c r="P37" s="51"/>
      <c r="Q37" s="51"/>
      <c r="R37" s="51"/>
      <c r="S37" s="51"/>
      <c r="BA37" s="51"/>
      <c r="BB37" s="51"/>
      <c r="BC37" s="51"/>
      <c r="BD37" s="51"/>
      <c r="BE37" s="51"/>
      <c r="BF37" s="51"/>
      <c r="BG37" s="51"/>
    </row>
    <row r="38" spans="1:59" s="204" customFormat="1" ht="14.25" customHeight="1">
      <c r="A38" s="190" t="str">
        <f>IF($B$2="BG","Отстъпки","Discounts")</f>
        <v>Отстъпки</v>
      </c>
      <c r="B38" s="202"/>
      <c r="C38" s="281"/>
      <c r="D38" s="282"/>
      <c r="E38" s="282"/>
      <c r="F38" s="282"/>
      <c r="G38" s="282"/>
      <c r="H38" s="282"/>
      <c r="I38" s="283"/>
      <c r="J38" s="203"/>
      <c r="K38" s="203"/>
      <c r="L38" s="203"/>
      <c r="M38" s="203"/>
      <c r="N38" s="203"/>
      <c r="O38" s="203"/>
      <c r="P38" s="203"/>
      <c r="Q38" s="203"/>
      <c r="R38" s="203"/>
      <c r="S38" s="203"/>
      <c r="BA38" s="203"/>
      <c r="BB38" s="203"/>
      <c r="BC38" s="203"/>
      <c r="BD38" s="203"/>
      <c r="BE38" s="203"/>
      <c r="BF38" s="203"/>
      <c r="BG38" s="203"/>
    </row>
    <row r="39" spans="1:59" s="204" customFormat="1" ht="14.25" customHeight="1">
      <c r="A39" s="190" t="str">
        <f>IF($B$2="BG","Отстъпки","Discounts")</f>
        <v>Отстъпки</v>
      </c>
      <c r="B39" s="202"/>
      <c r="C39" s="284" t="str">
        <f>IF($B$2="BG","Канал","Channel")</f>
        <v>Канал</v>
      </c>
      <c r="D39" s="284" t="str">
        <f>IF($B$2="BG","Брутен бюджет","Gross budget")</f>
        <v>Брутен бюджет</v>
      </c>
      <c r="E39" s="284" t="str">
        <f>IF($B$2="BG","% от общия бюджет","Channel distribution %")</f>
        <v>% от общия бюджет</v>
      </c>
      <c r="F39" s="284" t="str">
        <f>IF($B$2="BG","Бюджет в ПТ","Budget in PT")</f>
        <v>Бюджет в ПТ</v>
      </c>
      <c r="G39" s="284" t="str">
        <f>IF($B$2="BG","Бюджет в ОПТ","Budget in OPT")</f>
        <v>Бюджет в ОПТ</v>
      </c>
      <c r="H39" s="284" t="s">
        <v>50</v>
      </c>
      <c r="I39" s="284" t="s">
        <v>51</v>
      </c>
      <c r="K39" s="203"/>
      <c r="L39" s="203"/>
      <c r="M39" s="203"/>
      <c r="N39" s="203"/>
      <c r="O39" s="203"/>
      <c r="P39" s="203"/>
      <c r="Q39" s="203"/>
      <c r="R39" s="203"/>
      <c r="S39" s="203"/>
      <c r="BA39" s="203"/>
      <c r="BB39" s="203"/>
      <c r="BC39" s="203"/>
      <c r="BD39" s="203"/>
      <c r="BE39" s="203"/>
      <c r="BF39" s="203"/>
      <c r="BG39" s="203"/>
    </row>
    <row r="40" spans="1:59" s="204" customFormat="1" ht="14.25" customHeight="1">
      <c r="A40" s="194" t="str">
        <f>IF($B$2="BG","Общо отстъпки","Total Discounts")</f>
        <v>Общо отстъпки</v>
      </c>
      <c r="B40" s="197">
        <f>1-(1-B38)*(1-B39)</f>
        <v>0</v>
      </c>
      <c r="C40" s="284"/>
      <c r="D40" s="284"/>
      <c r="E40" s="284"/>
      <c r="F40" s="284"/>
      <c r="G40" s="284"/>
      <c r="H40" s="284"/>
      <c r="I40" s="284"/>
      <c r="K40" s="203"/>
      <c r="L40" s="203"/>
      <c r="M40" s="203"/>
      <c r="N40" s="203"/>
      <c r="O40" s="203"/>
      <c r="P40" s="203"/>
      <c r="Q40" s="203"/>
      <c r="R40" s="203"/>
      <c r="S40" s="203"/>
      <c r="BA40" s="203"/>
      <c r="BB40" s="203"/>
      <c r="BC40" s="203"/>
      <c r="BD40" s="203"/>
      <c r="BE40" s="203"/>
      <c r="BF40" s="203"/>
      <c r="BG40" s="203"/>
    </row>
    <row r="41" spans="1:59" s="204" customFormat="1" ht="14.25" customHeight="1">
      <c r="A41" s="190" t="str">
        <f>IF($B$2="BG","Изработка на платен репортаж","Paid report Producement")</f>
        <v>Изработка на платен репортаж</v>
      </c>
      <c r="B41" s="198">
        <v>0</v>
      </c>
      <c r="C41" s="190" t="str">
        <f>IF($B$2="BG","БНТ 1 фикс. цени","BNT 1 fixed price")</f>
        <v>БНТ 1 фикс. цени</v>
      </c>
      <c r="D41" s="187">
        <f>БНТ1_fixed!B46</f>
        <v>0</v>
      </c>
      <c r="E41" s="201">
        <f>БНТ1_fixed!E50</f>
        <v>0</v>
      </c>
      <c r="F41" s="187">
        <f>БНТ1_fixed!F50</f>
        <v>0</v>
      </c>
      <c r="G41" s="187">
        <f>БНТ1_fixed!G50</f>
        <v>0</v>
      </c>
      <c r="H41" s="195">
        <f>БНТ1_fixed!H50</f>
        <v>0</v>
      </c>
      <c r="I41" s="195">
        <f>БНТ1_fixed!I50</f>
        <v>0</v>
      </c>
      <c r="K41" s="203"/>
      <c r="L41" s="203"/>
      <c r="M41" s="203"/>
      <c r="N41" s="203"/>
      <c r="O41" s="203"/>
      <c r="P41" s="203"/>
      <c r="Q41" s="203"/>
      <c r="R41" s="203"/>
      <c r="S41" s="203"/>
      <c r="BA41" s="203"/>
      <c r="BB41" s="203"/>
      <c r="BC41" s="203"/>
      <c r="BD41" s="203"/>
      <c r="BE41" s="203"/>
      <c r="BF41" s="203"/>
      <c r="BG41" s="203"/>
    </row>
    <row r="42" spans="1:59" s="204" customFormat="1" ht="14.25" customHeight="1">
      <c r="A42" s="190" t="str">
        <f>IF($B$2="BG","Утежнения","Surcharge")</f>
        <v>Утежнения</v>
      </c>
      <c r="B42" s="198">
        <f>BH32</f>
        <v>0</v>
      </c>
      <c r="C42" s="190" t="str">
        <f>IF($B$2="BG","БНТ 2 фикс. цени","BNT 2 fixed")</f>
        <v>БНТ 2 фикс. цени</v>
      </c>
      <c r="D42" s="187">
        <f>B37</f>
        <v>0</v>
      </c>
      <c r="E42" s="201">
        <f>_xlfn.IFERROR(D42/$D$45,0)</f>
        <v>0</v>
      </c>
      <c r="F42" s="187">
        <f>_xlfn.IFERROR(SUMIF($F$12:$F$31,"PT",$J$12:$W$31),0)</f>
        <v>0</v>
      </c>
      <c r="G42" s="187">
        <f>_xlfn.IFERROR(SUMIF($F$12:$F$31,"OPT",$J$12:$J$31),0)</f>
        <v>0</v>
      </c>
      <c r="H42" s="195">
        <f>_xlfn.IFERROR(F42/J32,0)</f>
        <v>0</v>
      </c>
      <c r="I42" s="195">
        <f>_xlfn.IFERROR(G42/J32,0)</f>
        <v>0</v>
      </c>
      <c r="K42" s="203"/>
      <c r="L42" s="203"/>
      <c r="M42" s="203"/>
      <c r="N42" s="203"/>
      <c r="O42" s="203"/>
      <c r="P42" s="203"/>
      <c r="Q42" s="203"/>
      <c r="R42" s="203"/>
      <c r="S42" s="203"/>
      <c r="BA42" s="203"/>
      <c r="BB42" s="203"/>
      <c r="BC42" s="203"/>
      <c r="BD42" s="203"/>
      <c r="BE42" s="203"/>
      <c r="BF42" s="203"/>
      <c r="BG42" s="203"/>
    </row>
    <row r="43" spans="1:59" s="204" customFormat="1" ht="14.25" customHeight="1">
      <c r="A43" s="190" t="str">
        <f>IF($B$2="BG","Закъснение","Delay")</f>
        <v>Закъснение</v>
      </c>
      <c r="B43" s="198">
        <f>BI33</f>
        <v>0</v>
      </c>
      <c r="C43" s="190" t="str">
        <f>IF($B$2="BG","БНТ 3 фикс. цени","BNT 3 fixed")</f>
        <v>БНТ 3 фикс. цени</v>
      </c>
      <c r="D43" s="187">
        <f>'БНТ 3_Ffixed'!B48</f>
        <v>0</v>
      </c>
      <c r="E43" s="201">
        <f>'БНТ 3_Ffixed'!E54</f>
        <v>0</v>
      </c>
      <c r="F43" s="187">
        <f>'БНТ 3_Ffixed'!F54</f>
        <v>0</v>
      </c>
      <c r="G43" s="187">
        <f>'БНТ 3_Ffixed'!G54</f>
        <v>0</v>
      </c>
      <c r="H43" s="195" t="str">
        <f>'БНТ 3_Ffixed'!H54</f>
        <v>0%</v>
      </c>
      <c r="I43" s="195" t="str">
        <f>'БНТ 3_Ffixed'!H54</f>
        <v>0%</v>
      </c>
      <c r="K43" s="203"/>
      <c r="L43" s="203"/>
      <c r="M43" s="203"/>
      <c r="N43" s="203"/>
      <c r="O43" s="203"/>
      <c r="P43" s="203"/>
      <c r="Q43" s="203"/>
      <c r="R43" s="203"/>
      <c r="S43" s="203"/>
      <c r="BA43" s="203"/>
      <c r="BB43" s="203"/>
      <c r="BC43" s="203"/>
      <c r="BD43" s="203"/>
      <c r="BE43" s="203"/>
      <c r="BF43" s="203"/>
      <c r="BG43" s="203"/>
    </row>
    <row r="44" spans="1:23" s="204" customFormat="1" ht="14.25" customHeight="1">
      <c r="A44" s="194" t="str">
        <f>IF($B$2="BG","Нетна сума без ДДС","Net budget without VAT")</f>
        <v>Нетна сума без ДДС</v>
      </c>
      <c r="B44" s="199">
        <f>(B37*(100%-B38)*(100%-B39)+B41+B43)</f>
        <v>0</v>
      </c>
      <c r="C44" s="190" t="str">
        <f>IF($B$2="BG","БНТ 4 фикс. цени","BNT 4 fixed")</f>
        <v>БНТ 4 фикс. цени</v>
      </c>
      <c r="D44" s="187">
        <f>'БНТ 4_fixed'!B51</f>
        <v>0</v>
      </c>
      <c r="E44" s="201">
        <f>'БНТ 4_fixed'!E58</f>
        <v>0</v>
      </c>
      <c r="F44" s="187">
        <f>'БНТ 4_fixed'!F58</f>
        <v>0</v>
      </c>
      <c r="G44" s="187">
        <f>'БНТ 4_fixed'!G58</f>
        <v>0</v>
      </c>
      <c r="H44" s="195">
        <f>'БНТ 4_fixed'!H58</f>
        <v>0</v>
      </c>
      <c r="I44" s="195" t="str">
        <f>'БНТ 4_fixed'!I58</f>
        <v>0%</v>
      </c>
      <c r="K44" s="203"/>
      <c r="L44" s="203"/>
      <c r="M44" s="203"/>
      <c r="N44" s="203"/>
      <c r="O44" s="203"/>
      <c r="P44" s="203"/>
      <c r="Q44" s="203"/>
      <c r="R44" s="203"/>
      <c r="S44" s="203"/>
      <c r="U44" s="203"/>
      <c r="V44" s="203"/>
      <c r="W44" s="203"/>
    </row>
    <row r="45" spans="1:23" s="204" customFormat="1" ht="14.25" customHeight="1">
      <c r="A45" s="190" t="str">
        <f>IF($B$2="BG","ДДС","VAT")</f>
        <v>ДДС</v>
      </c>
      <c r="B45" s="200">
        <v>0.2</v>
      </c>
      <c r="C45" s="205" t="str">
        <f>IF($B$2="BG","Общо","Total")</f>
        <v>Общо</v>
      </c>
      <c r="D45" s="187">
        <f>SUM(D41:D44)</f>
        <v>0</v>
      </c>
      <c r="E45" s="201">
        <f>SUM(E41:E44)</f>
        <v>0</v>
      </c>
      <c r="F45" s="187">
        <f>SUM(F41:F44)</f>
        <v>0</v>
      </c>
      <c r="G45" s="187">
        <f>SUM(G41:G44)</f>
        <v>0</v>
      </c>
      <c r="H45" s="195">
        <f>IF(E45=0,"",(F45/D45))</f>
      </c>
      <c r="I45" s="195">
        <f>IF(E45=0,"",(G45/D45))</f>
      </c>
      <c r="K45" s="203"/>
      <c r="L45" s="203"/>
      <c r="M45" s="203"/>
      <c r="N45" s="203"/>
      <c r="O45" s="203"/>
      <c r="P45" s="203"/>
      <c r="Q45" s="203"/>
      <c r="R45" s="203"/>
      <c r="S45" s="203"/>
      <c r="T45" s="203"/>
      <c r="U45" s="203"/>
      <c r="V45" s="203"/>
      <c r="W45" s="203"/>
    </row>
    <row r="46" spans="1:23" s="204" customFormat="1" ht="14.25" customHeight="1">
      <c r="A46" s="194" t="str">
        <f>IF($B$2="BG","Нетна сума с ДДС","Net budget with VAT")</f>
        <v>Нетна сума с ДДС</v>
      </c>
      <c r="B46" s="199">
        <f>B44+(B44*B45)</f>
        <v>0</v>
      </c>
      <c r="G46" s="203"/>
      <c r="H46" s="203"/>
      <c r="I46" s="203"/>
      <c r="K46" s="203"/>
      <c r="L46" s="203"/>
      <c r="M46" s="203"/>
      <c r="N46" s="203"/>
      <c r="O46" s="203"/>
      <c r="P46" s="203"/>
      <c r="Q46" s="203"/>
      <c r="R46" s="203"/>
      <c r="S46" s="203"/>
      <c r="T46" s="203"/>
      <c r="U46" s="203"/>
      <c r="V46" s="203"/>
      <c r="W46" s="203"/>
    </row>
    <row r="47" spans="1:23" ht="12" customHeight="1">
      <c r="A47" s="36"/>
      <c r="B47" s="53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</row>
    <row r="48" spans="1:23" ht="12" customHeight="1">
      <c r="A48" s="36"/>
      <c r="B48" s="53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</row>
    <row r="49" spans="1:23" ht="12" customHeight="1">
      <c r="A49" s="54" t="str">
        <f>IF($B$2="BG","Приел:","Executed by:")</f>
        <v>Приел:</v>
      </c>
      <c r="B49" s="122"/>
      <c r="G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</row>
    <row r="50" spans="1:7" ht="12" customHeight="1">
      <c r="A50" s="54"/>
      <c r="B50" s="122"/>
      <c r="G50" s="51"/>
    </row>
    <row r="51" spans="1:7" ht="12" customHeight="1">
      <c r="A51" s="54"/>
      <c r="B51" s="122"/>
      <c r="G51" s="51"/>
    </row>
    <row r="52" spans="2:7" ht="12" customHeight="1">
      <c r="B52" s="122"/>
      <c r="G52" s="51"/>
    </row>
    <row r="53" spans="1:7" ht="12" customHeight="1">
      <c r="A53" s="54" t="str">
        <f>IF($B$2="BG","Светла Цветкова:","Tsvetkova Svetla:")</f>
        <v>Светла Цветкова:</v>
      </c>
      <c r="B53" s="122"/>
      <c r="G53" s="51"/>
    </row>
    <row r="54" spans="1:7" ht="12" customHeight="1">
      <c r="A54" s="54" t="str">
        <f>IF($B$2="BG","Трафик Експерт:","Traffik Expert:")</f>
        <v>Трафик Експерт:</v>
      </c>
      <c r="B54" s="122"/>
      <c r="G54" s="51"/>
    </row>
    <row r="55" spans="1:4" ht="12" customHeight="1">
      <c r="A55" s="54"/>
      <c r="B55" s="122"/>
      <c r="D55" s="54" t="str">
        <f>IF($B$2="BG","Заявил:","Requested by:")</f>
        <v>Заявил:</v>
      </c>
    </row>
    <row r="56" spans="2:3" ht="13.5" customHeight="1">
      <c r="B56" s="122"/>
      <c r="C56" s="54"/>
    </row>
    <row r="57" spans="1:3" ht="13.5" customHeight="1">
      <c r="A57" s="54" t="str">
        <f>IF($B$2="BG","Станислав Пенович:","Penovich Stanislav:")</f>
        <v>Станислав Пенович:</v>
      </c>
      <c r="B57" s="122"/>
      <c r="C57" s="54"/>
    </row>
    <row r="58" spans="1:2" ht="13.5" customHeight="1">
      <c r="A58" s="54" t="str">
        <f>IF($B$2="BG","Директор  Маркетинг и комуникации:","CEO Marketing and Communication:")</f>
        <v>Директор  Маркетинг и комуникации:</v>
      </c>
      <c r="B58" s="122"/>
    </row>
    <row r="59" ht="13.5" customHeight="1"/>
    <row r="60" ht="13.5" customHeight="1"/>
    <row r="61" ht="13.5" customHeight="1"/>
    <row r="62" ht="13.5" customHeight="1"/>
    <row r="63" ht="13.5" customHeight="1"/>
    <row r="67" ht="13.5" customHeight="1"/>
  </sheetData>
  <sheetProtection/>
  <protectedRanges>
    <protectedRange sqref="D55 A49:B56 C56:C64 B57:B58" name="Range7"/>
    <protectedRange sqref="A6" name="Range1"/>
    <protectedRange sqref="A7" name="Range1_1"/>
    <protectedRange sqref="A8" name="Range1_2"/>
    <protectedRange sqref="A9" name="Range1_3"/>
    <protectedRange sqref="A10" name="Range1_5"/>
    <protectedRange sqref="A57" name="Range7_2"/>
    <protectedRange sqref="A58" name="Range7_1_1"/>
  </protectedRanges>
  <autoFilter ref="A11:BJ11"/>
  <mergeCells count="30">
    <mergeCell ref="AO34:AU34"/>
    <mergeCell ref="X33:Z33"/>
    <mergeCell ref="AA33:AG33"/>
    <mergeCell ref="AH33:AN33"/>
    <mergeCell ref="AO33:AU33"/>
    <mergeCell ref="X34:Z34"/>
    <mergeCell ref="A1:I1"/>
    <mergeCell ref="AA34:AG34"/>
    <mergeCell ref="AH34:AN34"/>
    <mergeCell ref="AV33:BB33"/>
    <mergeCell ref="AV34:BB34"/>
    <mergeCell ref="X35:BB35"/>
    <mergeCell ref="X10:BB10"/>
    <mergeCell ref="C9:D9"/>
    <mergeCell ref="C3:D3"/>
    <mergeCell ref="C4:D4"/>
    <mergeCell ref="I39:I40"/>
    <mergeCell ref="C39:C40"/>
    <mergeCell ref="D39:D40"/>
    <mergeCell ref="E39:E40"/>
    <mergeCell ref="F39:F40"/>
    <mergeCell ref="G39:G40"/>
    <mergeCell ref="H39:H40"/>
    <mergeCell ref="C5:D5"/>
    <mergeCell ref="C6:D6"/>
    <mergeCell ref="C7:D7"/>
    <mergeCell ref="C8:D8"/>
    <mergeCell ref="A36:A37"/>
    <mergeCell ref="I35:J35"/>
    <mergeCell ref="C37:I38"/>
  </mergeCells>
  <conditionalFormatting sqref="A1 C56:C57 D55">
    <cfRule type="cellIs" priority="52" dxfId="2" operator="equal" stopIfTrue="1">
      <formula>0</formula>
    </cfRule>
  </conditionalFormatting>
  <conditionalFormatting sqref="A49:A51 A53:A56">
    <cfRule type="cellIs" priority="35" dxfId="2" operator="equal" stopIfTrue="1">
      <formula>0</formula>
    </cfRule>
  </conditionalFormatting>
  <conditionalFormatting sqref="X12:BB31">
    <cfRule type="cellIs" priority="7" dxfId="6" operator="equal" stopIfTrue="1">
      <formula>"F"</formula>
    </cfRule>
    <cfRule type="cellIs" priority="16" dxfId="35" operator="equal" stopIfTrue="1">
      <formula>"F"</formula>
    </cfRule>
    <cfRule type="cellIs" priority="17" dxfId="5" operator="equal" stopIfTrue="1">
      <formula>"E"</formula>
    </cfRule>
    <cfRule type="cellIs" priority="18" dxfId="4" operator="equal" stopIfTrue="1">
      <formula>"D"</formula>
    </cfRule>
    <cfRule type="cellIs" priority="19" dxfId="0" operator="equal" stopIfTrue="1">
      <formula>"B"</formula>
    </cfRule>
    <cfRule type="cellIs" priority="20" dxfId="10" operator="equal" stopIfTrue="1">
      <formula>"C"</formula>
    </cfRule>
    <cfRule type="cellIs" priority="21" dxfId="10" operator="equal" stopIfTrue="1">
      <formula>"B"</formula>
    </cfRule>
    <cfRule type="cellIs" priority="22" dxfId="1" operator="equal" stopIfTrue="1">
      <formula>"A"</formula>
    </cfRule>
  </conditionalFormatting>
  <conditionalFormatting sqref="E5">
    <cfRule type="cellIs" priority="14" dxfId="0" operator="equal" stopIfTrue="1">
      <formula>"B"</formula>
    </cfRule>
  </conditionalFormatting>
  <conditionalFormatting sqref="E6">
    <cfRule type="cellIs" priority="13" dxfId="10" operator="equal" stopIfTrue="1">
      <formula>"C"</formula>
    </cfRule>
  </conditionalFormatting>
  <conditionalFormatting sqref="E7">
    <cfRule type="cellIs" priority="12" dxfId="4" operator="equal" stopIfTrue="1">
      <formula>"D"</formula>
    </cfRule>
  </conditionalFormatting>
  <conditionalFormatting sqref="E8">
    <cfRule type="cellIs" priority="11" dxfId="5" operator="equal" stopIfTrue="1">
      <formula>"E"</formula>
    </cfRule>
  </conditionalFormatting>
  <conditionalFormatting sqref="E9">
    <cfRule type="cellIs" priority="8" dxfId="6" operator="equal" stopIfTrue="1">
      <formula>"F"</formula>
    </cfRule>
    <cfRule type="cellIs" priority="9" dxfId="35" operator="equal" stopIfTrue="1">
      <formula>"F"</formula>
    </cfRule>
    <cfRule type="cellIs" priority="10" dxfId="6" operator="equal" stopIfTrue="1">
      <formula>"F"</formula>
    </cfRule>
  </conditionalFormatting>
  <conditionalFormatting sqref="A57">
    <cfRule type="cellIs" priority="5" dxfId="2" operator="equal" stopIfTrue="1">
      <formula>0</formula>
    </cfRule>
  </conditionalFormatting>
  <conditionalFormatting sqref="A58">
    <cfRule type="cellIs" priority="3" dxfId="2" operator="equal" stopIfTrue="1">
      <formula>0</formula>
    </cfRule>
  </conditionalFormatting>
  <conditionalFormatting sqref="E4">
    <cfRule type="cellIs" priority="1" dxfId="1" operator="equal" stopIfTrue="1">
      <formula>"A"</formula>
    </cfRule>
    <cfRule type="cellIs" priority="2" dxfId="0" operator="equal" stopIfTrue="1">
      <formula>"B"</formula>
    </cfRule>
  </conditionalFormatting>
  <dataValidations count="12">
    <dataValidation type="list" allowBlank="1" showInputMessage="1" showErrorMessage="1" sqref="G12:G31">
      <formula1>reklama9</formula1>
    </dataValidation>
    <dataValidation showInputMessage="1" showErrorMessage="1" sqref="BI12:BJ31"/>
    <dataValidation type="list" showInputMessage="1" showErrorMessage="1" sqref="BD12:BE31">
      <formula1>percent1</formula1>
    </dataValidation>
    <dataValidation type="list" allowBlank="1" showInputMessage="1" showErrorMessage="1" sqref="D12:D31">
      <formula1>time100</formula1>
    </dataValidation>
    <dataValidation type="list" allowBlank="1" showInputMessage="1" showErrorMessage="1" sqref="C12:C31">
      <formula1>"mon-sun"</formula1>
    </dataValidation>
    <dataValidation type="list" showDropDown="1" showInputMessage="1" showErrorMessage="1" sqref="X12:BB31">
      <formula1>Codes2</formula1>
    </dataValidation>
    <dataValidation type="list" showInputMessage="1" showErrorMessage="1" sqref="BC12:BC31">
      <formula1>Positions2</formula1>
    </dataValidation>
    <dataValidation type="list" allowBlank="1" showInputMessage="1" showErrorMessage="1" sqref="G32">
      <formula1>Reklama</formula1>
    </dataValidation>
    <dataValidation type="list" allowBlank="1" showInputMessage="1" showErrorMessage="1" sqref="F4:F9">
      <formula1>duration3</formula1>
    </dataValidation>
    <dataValidation allowBlank="1" showInputMessage="1" showErrorMessage="1" sqref="B39"/>
    <dataValidation type="list" allowBlank="1" showInputMessage="1" showErrorMessage="1" sqref="B2:B3">
      <formula1>$AE$3:$AE$4</formula1>
    </dataValidation>
    <dataValidation type="list" allowBlank="1" showInputMessage="1" showErrorMessage="1" sqref="I4:I9">
      <formula1>"Да/Yes"</formula1>
    </dataValidation>
  </dataValidations>
  <printOptions/>
  <pageMargins left="0" right="0" top="0.2755905511811024" bottom="0.11811023622047245" header="0.2755905511811024" footer="0.11811023622047245"/>
  <pageSetup fitToHeight="1" fitToWidth="1" horizontalDpi="600" verticalDpi="600" orientation="landscape" paperSize="9" scale="40" r:id="rId4"/>
  <ignoredErrors>
    <ignoredError sqref="BI12:BI31" emptyCellReference="1"/>
    <ignoredError sqref="K32:M32 O32:W32 B44:B46 A59:B60 A43:A46 A52:B54 A56:B56 A49:B49 D55 BC11:BJ11 D45:G45 D43:I44 C45 B57:B58 C58:C60 C62:C66 L12 C43:C44 BH32:BJ32 X35 X33 X34:AY34 Y33:AY33 Y35:AY35 BQ12 BQ13:BQ31 BM12:BO12 BL32:BQ32 BM13:BO31 BL12:BL31 BP12:BP31 X10 K12 P12 R12 T12 V12 N12 W12:W31 M12 O12 S12 Q12 N13:N31 V13:V31 T13:T31 R13:R31 P13:P31 L13:L31 K13:K31 M13:M31 Q13:Q31 S13:S31 U13:U31 O13:O31 A57:A58 H4:H9 G8 G7 G6 G5 E4:E9 G4 G9 F3:I3 C3 A36:A39 C41:C42 C37 D41:I42 C39:I40 A11:J11 A4:A10 I35 A40:A42 J33:J34 E3 I32 B36:B37 B40:B42 A1:J2 A35:H35 A28:D31 G27:G31 I12:I31 B38:J38 C36:J36 A32:G32 A3:B3 J3 A33:I34 J35 B5:D8 J40 B39 J39 J41:J42 D37:J37 D3 B10:J10 B9:D9 I9:J9 B4 I4:J4 F8 F9 F5 I5:J5 F6 I6:J6 F7 I7:J7 I8:J8 A12:B12 A13:B20 A21:B21 A22:B25 A26:B27 D27" unlockedFormula="1"/>
    <ignoredError sqref="N32 B43 J12:J32 F12:F31 E12:E31 X32:AZ32 BA32:BB32" emptyCellReference="1" unlockedFormula="1"/>
    <ignoredError sqref="X32:AZ32 BA32:BB32" emptyCellReference="1" formulaRange="1" unlockedFormula="1"/>
  </ignoredError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89FFC"/>
  </sheetPr>
  <dimension ref="A1:GH70"/>
  <sheetViews>
    <sheetView showGridLines="0" zoomScale="85" zoomScaleNormal="85" zoomScaleSheetLayoutView="85" workbookViewId="0" topLeftCell="A1">
      <selection activeCell="E24" sqref="E24"/>
    </sheetView>
  </sheetViews>
  <sheetFormatPr defaultColWidth="9.140625" defaultRowHeight="12.75"/>
  <cols>
    <col min="1" max="1" width="36.28125" style="31" customWidth="1"/>
    <col min="2" max="2" width="26.57421875" style="31" customWidth="1"/>
    <col min="3" max="3" width="18.140625" style="31" customWidth="1"/>
    <col min="4" max="4" width="14.8515625" style="31" customWidth="1"/>
    <col min="5" max="5" width="13.140625" style="31" customWidth="1"/>
    <col min="6" max="6" width="11.57421875" style="31" customWidth="1"/>
    <col min="7" max="7" width="13.140625" style="31" customWidth="1"/>
    <col min="8" max="8" width="9.421875" style="31" customWidth="1"/>
    <col min="9" max="9" width="9.8515625" style="31" customWidth="1"/>
    <col min="10" max="10" width="11.8515625" style="31" customWidth="1"/>
    <col min="11" max="23" width="7.00390625" style="31" hidden="1" customWidth="1"/>
    <col min="24" max="53" width="3.8515625" style="31" customWidth="1"/>
    <col min="54" max="54" width="4.00390625" style="31" customWidth="1"/>
    <col min="55" max="55" width="11.57421875" style="31" customWidth="1"/>
    <col min="56" max="56" width="11.421875" style="31" hidden="1" customWidth="1"/>
    <col min="57" max="57" width="9.28125" style="31" customWidth="1"/>
    <col min="58" max="59" width="12.7109375" style="31" customWidth="1"/>
    <col min="60" max="60" width="13.00390625" style="31" customWidth="1"/>
    <col min="61" max="61" width="11.421875" style="31" customWidth="1"/>
    <col min="62" max="62" width="11.28125" style="31" customWidth="1"/>
    <col min="63" max="63" width="9.140625" style="31" hidden="1" customWidth="1"/>
    <col min="64" max="64" width="9.28125" style="31" hidden="1" customWidth="1"/>
    <col min="65" max="65" width="9.140625" style="31" hidden="1" customWidth="1"/>
    <col min="66" max="66" width="9.28125" style="31" hidden="1" customWidth="1"/>
    <col min="67" max="70" width="9.140625" style="31" hidden="1" customWidth="1"/>
    <col min="71" max="86" width="9.140625" style="31" customWidth="1"/>
    <col min="87" max="16384" width="9.140625" style="31" customWidth="1"/>
  </cols>
  <sheetData>
    <row r="1" spans="1:26" ht="57.75" customHeight="1">
      <c r="A1" s="266" t="str">
        <f>IF($B$2="BG","Фиксирани цени за месец МАРТ 2019","Fixed Prices MARCH 2019")</f>
        <v>Фиксирани цени за месец МАРТ 2019</v>
      </c>
      <c r="B1" s="266"/>
      <c r="C1" s="266"/>
      <c r="D1" s="266"/>
      <c r="E1" s="266"/>
      <c r="F1" s="266"/>
      <c r="G1" s="266"/>
      <c r="H1" s="266"/>
      <c r="I1" s="26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226"/>
      <c r="W1" s="226"/>
      <c r="X1" s="226"/>
      <c r="Y1" s="226"/>
      <c r="Z1" s="226"/>
    </row>
    <row r="2" spans="1:26" ht="17.25" customHeight="1">
      <c r="A2" s="152" t="s">
        <v>70</v>
      </c>
      <c r="B2" s="153" t="s">
        <v>72</v>
      </c>
      <c r="C2" s="128"/>
      <c r="D2" s="111"/>
      <c r="E2" s="111"/>
      <c r="F2" s="111"/>
      <c r="G2" s="111"/>
      <c r="H2" s="111"/>
      <c r="I2" s="111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6"/>
      <c r="Y2" s="226"/>
      <c r="Z2" s="226"/>
    </row>
    <row r="3" spans="1:31" ht="25.5" customHeight="1">
      <c r="A3" s="153"/>
      <c r="B3" s="153"/>
      <c r="C3" s="303" t="str">
        <f>IF($B$2="BG","Име на клип","Name ot spot")</f>
        <v>Име на клип</v>
      </c>
      <c r="D3" s="303"/>
      <c r="E3" s="225" t="str">
        <f>IF($B$2="BG","Код","Code")</f>
        <v>Код</v>
      </c>
      <c r="F3" s="225" t="str">
        <f>IF($B$2="BG","Секунди","Secоnds")</f>
        <v>Секунди</v>
      </c>
      <c r="G3" s="225" t="str">
        <f>IF($B$2="BG","Коефициент
30 сек.","Coefficient
to 30 sec.")</f>
        <v>Коефициент
30 сек.</v>
      </c>
      <c r="H3" s="225" t="str">
        <f>IF($B$2="BG","Брой","Count")</f>
        <v>Брой</v>
      </c>
      <c r="I3" s="239" t="str">
        <f>IF($B$2="BG","Бонус/
Компенс.","Bonus/
Compens.")</f>
        <v>Бонус/
Компенс.</v>
      </c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  <c r="W3" s="226"/>
      <c r="X3" s="226"/>
      <c r="Y3" s="226"/>
      <c r="Z3" s="226"/>
      <c r="AE3" s="117" t="s">
        <v>72</v>
      </c>
    </row>
    <row r="4" spans="1:31" ht="12" customHeight="1">
      <c r="A4" s="34" t="str">
        <f>IF($B$2="BG","Агенция","Agency")</f>
        <v>Агенция</v>
      </c>
      <c r="B4" s="32"/>
      <c r="C4" s="315"/>
      <c r="D4" s="315"/>
      <c r="E4" s="205" t="str">
        <f>IF(F4&lt;&gt;"","A","-")</f>
        <v>-</v>
      </c>
      <c r="F4" s="236"/>
      <c r="G4" s="237">
        <f>IF(F4="",0,VLOOKUP(F4,data!$B$17:$C$102,2,FALSE))</f>
        <v>0</v>
      </c>
      <c r="H4" s="236" t="b">
        <f aca="true" t="shared" si="0" ref="H4:H9">IF(F4&gt;0,(COUNTIF($X$13:$BB$42,E4)))</f>
        <v>0</v>
      </c>
      <c r="I4" s="236"/>
      <c r="J4" s="226"/>
      <c r="K4" s="226"/>
      <c r="L4" s="226"/>
      <c r="M4" s="226"/>
      <c r="N4" s="226"/>
      <c r="O4" s="226"/>
      <c r="P4" s="226"/>
      <c r="Q4" s="226"/>
      <c r="R4" s="226"/>
      <c r="S4" s="226"/>
      <c r="T4" s="226"/>
      <c r="U4" s="226"/>
      <c r="V4" s="226"/>
      <c r="W4" s="226"/>
      <c r="X4" s="226"/>
      <c r="Y4" s="226"/>
      <c r="Z4" s="226"/>
      <c r="AE4" s="117" t="s">
        <v>71</v>
      </c>
    </row>
    <row r="5" spans="1:26" ht="12" customHeight="1">
      <c r="A5" s="34" t="str">
        <f>IF($B$2="BG","Лице за контакт","Contact person")</f>
        <v>Лице за контакт</v>
      </c>
      <c r="B5" s="32"/>
      <c r="C5" s="315"/>
      <c r="D5" s="315"/>
      <c r="E5" s="205" t="str">
        <f>IF(F5&lt;&gt;"","B","-")</f>
        <v>-</v>
      </c>
      <c r="F5" s="236"/>
      <c r="G5" s="237">
        <f>IF(F5="",0,VLOOKUP(F5,data!$B$17:$C$102,2,FALSE))</f>
        <v>0</v>
      </c>
      <c r="H5" s="236" t="b">
        <f t="shared" si="0"/>
        <v>0</v>
      </c>
      <c r="I5" s="236"/>
      <c r="J5" s="226"/>
      <c r="K5" s="226"/>
      <c r="L5" s="226"/>
      <c r="M5" s="226"/>
      <c r="N5" s="226"/>
      <c r="O5" s="226"/>
      <c r="P5" s="226"/>
      <c r="Q5" s="226"/>
      <c r="R5" s="226"/>
      <c r="S5" s="226"/>
      <c r="T5" s="226"/>
      <c r="U5" s="226"/>
      <c r="V5" s="226"/>
      <c r="W5" s="226"/>
      <c r="X5" s="226"/>
      <c r="Y5" s="226"/>
      <c r="Z5" s="226"/>
    </row>
    <row r="6" spans="1:26" ht="12" customHeight="1">
      <c r="A6" s="34" t="str">
        <f>IF($B$2="BG","Входящ №","Reference №")</f>
        <v>Входящ №</v>
      </c>
      <c r="B6" s="32"/>
      <c r="C6" s="315"/>
      <c r="D6" s="315"/>
      <c r="E6" s="205" t="str">
        <f>IF(F6&lt;&gt;"","C","-")</f>
        <v>-</v>
      </c>
      <c r="F6" s="236"/>
      <c r="G6" s="237">
        <f>IF(F6="",0,VLOOKUP(F6,data!$B$17:$C$102,2,FALSE))</f>
        <v>0</v>
      </c>
      <c r="H6" s="236" t="b">
        <f t="shared" si="0"/>
        <v>0</v>
      </c>
      <c r="I6" s="236"/>
      <c r="J6" s="226"/>
      <c r="K6" s="226"/>
      <c r="L6" s="226"/>
      <c r="M6" s="226"/>
      <c r="N6" s="226"/>
      <c r="O6" s="226"/>
      <c r="P6" s="226"/>
      <c r="Q6" s="226"/>
      <c r="R6" s="226"/>
      <c r="S6" s="226"/>
      <c r="T6" s="226"/>
      <c r="U6" s="226"/>
      <c r="V6" s="226"/>
      <c r="W6" s="226"/>
      <c r="X6" s="226"/>
      <c r="Y6" s="226"/>
      <c r="Z6" s="226"/>
    </row>
    <row r="7" spans="1:26" ht="12" customHeight="1">
      <c r="A7" s="34" t="str">
        <f>IF($B$2="BG","Кампания","Campaign")</f>
        <v>Кампания</v>
      </c>
      <c r="B7" s="32"/>
      <c r="C7" s="315"/>
      <c r="D7" s="315"/>
      <c r="E7" s="238" t="str">
        <f>IF(F7&lt;&gt;"","D","-")</f>
        <v>-</v>
      </c>
      <c r="F7" s="236"/>
      <c r="G7" s="237">
        <f>IF(F7="",0,VLOOKUP(F7,data!$B$17:$C$102,2,FALSE))</f>
        <v>0</v>
      </c>
      <c r="H7" s="236" t="b">
        <f t="shared" si="0"/>
        <v>0</v>
      </c>
      <c r="I7" s="236"/>
      <c r="J7" s="226"/>
      <c r="K7" s="226"/>
      <c r="L7" s="226"/>
      <c r="M7" s="226"/>
      <c r="N7" s="226"/>
      <c r="O7" s="226"/>
      <c r="P7" s="226"/>
      <c r="Q7" s="226"/>
      <c r="R7" s="226"/>
      <c r="S7" s="226"/>
      <c r="T7" s="226"/>
      <c r="U7" s="226"/>
      <c r="V7" s="226"/>
      <c r="W7" s="226"/>
      <c r="X7" s="226"/>
      <c r="Y7" s="226"/>
      <c r="Z7" s="226"/>
    </row>
    <row r="8" spans="1:26" ht="12" customHeight="1">
      <c r="A8" s="34" t="str">
        <f>IF($B$2="BG","Клиент","Client")</f>
        <v>Клиент</v>
      </c>
      <c r="B8" s="32"/>
      <c r="C8" s="315"/>
      <c r="D8" s="315"/>
      <c r="E8" s="238" t="str">
        <f>IF(F8&lt;&gt;"","E","-")</f>
        <v>-</v>
      </c>
      <c r="F8" s="236"/>
      <c r="G8" s="237">
        <f>IF(F8="",0,VLOOKUP(F8,data!$B$17:$C$102,2,FALSE))</f>
        <v>0</v>
      </c>
      <c r="H8" s="236" t="b">
        <f t="shared" si="0"/>
        <v>0</v>
      </c>
      <c r="I8" s="236"/>
      <c r="J8" s="226"/>
      <c r="K8" s="226"/>
      <c r="L8" s="226"/>
      <c r="M8" s="226"/>
      <c r="N8" s="226"/>
      <c r="O8" s="226"/>
      <c r="P8" s="226"/>
      <c r="Q8" s="226"/>
      <c r="R8" s="226"/>
      <c r="S8" s="226"/>
      <c r="T8" s="226"/>
      <c r="U8" s="226"/>
      <c r="V8" s="226"/>
      <c r="W8" s="226"/>
      <c r="X8" s="226"/>
      <c r="Y8" s="226"/>
      <c r="Z8" s="226"/>
    </row>
    <row r="9" spans="1:26" ht="12" customHeight="1">
      <c r="A9" s="34" t="str">
        <f>IF($B$2="BG","Период","Period")</f>
        <v>Период</v>
      </c>
      <c r="B9" s="32"/>
      <c r="C9" s="315"/>
      <c r="D9" s="315"/>
      <c r="E9" s="238" t="str">
        <f>IF(F9&lt;&gt;"","F","-")</f>
        <v>-</v>
      </c>
      <c r="F9" s="236"/>
      <c r="G9" s="237">
        <f>IF(F9="",0,VLOOKUP(F9,data!$B$17:$C$102,2,FALSE))</f>
        <v>0</v>
      </c>
      <c r="H9" s="236" t="b">
        <f t="shared" si="0"/>
        <v>0</v>
      </c>
      <c r="I9" s="236"/>
      <c r="J9" s="226"/>
      <c r="K9" s="226"/>
      <c r="L9" s="226"/>
      <c r="M9" s="226"/>
      <c r="N9" s="226"/>
      <c r="O9" s="226"/>
      <c r="P9" s="226"/>
      <c r="Q9" s="226"/>
      <c r="R9" s="226"/>
      <c r="S9" s="226"/>
      <c r="T9" s="226"/>
      <c r="U9" s="226"/>
      <c r="V9" s="226"/>
      <c r="W9" s="226"/>
      <c r="X9" s="226"/>
      <c r="Y9" s="226"/>
      <c r="Z9" s="226"/>
    </row>
    <row r="10" spans="1:59" ht="12" customHeight="1">
      <c r="A10" s="34" t="str">
        <f>IF($B$2="BG","По договор","Contract №")</f>
        <v>По договор</v>
      </c>
      <c r="B10" s="32"/>
      <c r="C10" s="301"/>
      <c r="D10" s="302"/>
      <c r="E10" s="301"/>
      <c r="F10" s="302"/>
      <c r="G10" s="301"/>
      <c r="H10" s="319"/>
      <c r="I10" s="302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309" t="str">
        <f>IF($B$2="BG","Март 2019","March 2019")</f>
        <v>Март 2019</v>
      </c>
      <c r="Y10" s="310"/>
      <c r="Z10" s="310"/>
      <c r="AA10" s="310"/>
      <c r="AB10" s="310"/>
      <c r="AC10" s="310"/>
      <c r="AD10" s="310"/>
      <c r="AE10" s="310"/>
      <c r="AF10" s="310"/>
      <c r="AG10" s="310"/>
      <c r="AH10" s="310"/>
      <c r="AI10" s="310"/>
      <c r="AJ10" s="310"/>
      <c r="AK10" s="310"/>
      <c r="AL10" s="310"/>
      <c r="AM10" s="310"/>
      <c r="AN10" s="310"/>
      <c r="AO10" s="310"/>
      <c r="AP10" s="310"/>
      <c r="AQ10" s="310"/>
      <c r="AR10" s="310"/>
      <c r="AS10" s="310"/>
      <c r="AT10" s="310"/>
      <c r="AU10" s="310"/>
      <c r="AV10" s="310"/>
      <c r="AW10" s="310"/>
      <c r="AX10" s="310"/>
      <c r="AY10" s="310"/>
      <c r="AZ10" s="310"/>
      <c r="BA10" s="310"/>
      <c r="BB10" s="311"/>
      <c r="BC10" s="36"/>
      <c r="BD10" s="36"/>
      <c r="BE10" s="36"/>
      <c r="BF10" s="36"/>
      <c r="BG10" s="36"/>
    </row>
    <row r="11" spans="1:59" ht="12" customHeight="1">
      <c r="A11" s="34" t="str">
        <f>IF($B$2="BG","Решение УС","Bord decision №")</f>
        <v>Решение УС</v>
      </c>
      <c r="B11" s="32"/>
      <c r="C11" s="301"/>
      <c r="D11" s="302"/>
      <c r="E11" s="301"/>
      <c r="F11" s="302"/>
      <c r="G11" s="320"/>
      <c r="H11" s="321"/>
      <c r="I11" s="322"/>
      <c r="X11" s="312"/>
      <c r="Y11" s="313"/>
      <c r="Z11" s="313"/>
      <c r="AA11" s="313"/>
      <c r="AB11" s="313"/>
      <c r="AC11" s="313"/>
      <c r="AD11" s="313"/>
      <c r="AE11" s="313"/>
      <c r="AF11" s="313"/>
      <c r="AG11" s="313"/>
      <c r="AH11" s="313"/>
      <c r="AI11" s="313"/>
      <c r="AJ11" s="313"/>
      <c r="AK11" s="313"/>
      <c r="AL11" s="313"/>
      <c r="AM11" s="313"/>
      <c r="AN11" s="313"/>
      <c r="AO11" s="313"/>
      <c r="AP11" s="313"/>
      <c r="AQ11" s="313"/>
      <c r="AR11" s="313"/>
      <c r="AS11" s="313"/>
      <c r="AT11" s="313"/>
      <c r="AU11" s="313"/>
      <c r="AV11" s="313"/>
      <c r="AW11" s="313"/>
      <c r="AX11" s="313"/>
      <c r="AY11" s="313"/>
      <c r="AZ11" s="313"/>
      <c r="BA11" s="313"/>
      <c r="BB11" s="314"/>
      <c r="BC11" s="36"/>
      <c r="BD11" s="36"/>
      <c r="BE11" s="36"/>
      <c r="BF11" s="36"/>
      <c r="BG11" s="36"/>
    </row>
    <row r="12" spans="1:69" ht="48" customHeight="1">
      <c r="A12" s="153" t="str">
        <f>IF($B$2="BG","Бележки","Notice")</f>
        <v>Бележки</v>
      </c>
      <c r="B12" s="153" t="str">
        <f>IF($B$2="BG","Програма","Program")</f>
        <v>Програма</v>
      </c>
      <c r="C12" s="153" t="str">
        <f>IF($B$2="BG","Ден","Day")</f>
        <v>Ден</v>
      </c>
      <c r="D12" s="153" t="str">
        <f>IF($B$2="BG","Час","Time")</f>
        <v>Час</v>
      </c>
      <c r="E12" s="153" t="str">
        <f>IF($B$2="BG","Ключ","Key")</f>
        <v>Ключ</v>
      </c>
      <c r="F12" s="153" t="str">
        <f>IF($B$2="BG","Часова зона","Day part")</f>
        <v>Часова зона</v>
      </c>
      <c r="G12" s="153" t="str">
        <f>IF($B$2="BG","Рекламна форма","TVC Type")</f>
        <v>Рекламна форма</v>
      </c>
      <c r="H12" s="153" t="str">
        <f>IF($B$2="BG","Цена за клип 30 сек.","30 sec Price")</f>
        <v>Цена за клип 30 сек.</v>
      </c>
      <c r="I12" s="153" t="str">
        <f>IF($B$2="BG","Брой","Count")</f>
        <v>Брой</v>
      </c>
      <c r="J12" s="153" t="str">
        <f>IF($B$2="BG","Общо цена","Total")</f>
        <v>Общо цена</v>
      </c>
      <c r="K12" s="153" t="s">
        <v>18</v>
      </c>
      <c r="L12" s="153" t="s">
        <v>19</v>
      </c>
      <c r="M12" s="153" t="s">
        <v>20</v>
      </c>
      <c r="N12" s="153" t="s">
        <v>25</v>
      </c>
      <c r="O12" s="153" t="s">
        <v>21</v>
      </c>
      <c r="P12" s="153" t="s">
        <v>26</v>
      </c>
      <c r="Q12" s="153" t="s">
        <v>22</v>
      </c>
      <c r="R12" s="153" t="s">
        <v>27</v>
      </c>
      <c r="S12" s="153" t="s">
        <v>23</v>
      </c>
      <c r="T12" s="153" t="s">
        <v>28</v>
      </c>
      <c r="U12" s="153" t="s">
        <v>24</v>
      </c>
      <c r="V12" s="153" t="s">
        <v>29</v>
      </c>
      <c r="W12" s="153" t="s">
        <v>30</v>
      </c>
      <c r="X12" s="167">
        <v>1</v>
      </c>
      <c r="Y12" s="37">
        <v>2</v>
      </c>
      <c r="Z12" s="37">
        <v>3</v>
      </c>
      <c r="AA12" s="167">
        <v>4</v>
      </c>
      <c r="AB12" s="167">
        <v>5</v>
      </c>
      <c r="AC12" s="167">
        <v>6</v>
      </c>
      <c r="AD12" s="167">
        <v>7</v>
      </c>
      <c r="AE12" s="167">
        <v>8</v>
      </c>
      <c r="AF12" s="37">
        <v>9</v>
      </c>
      <c r="AG12" s="37">
        <v>10</v>
      </c>
      <c r="AH12" s="167">
        <v>11</v>
      </c>
      <c r="AI12" s="167">
        <v>12</v>
      </c>
      <c r="AJ12" s="167">
        <v>13</v>
      </c>
      <c r="AK12" s="167">
        <v>14</v>
      </c>
      <c r="AL12" s="167">
        <v>15</v>
      </c>
      <c r="AM12" s="37">
        <v>16</v>
      </c>
      <c r="AN12" s="37">
        <v>17</v>
      </c>
      <c r="AO12" s="167">
        <v>18</v>
      </c>
      <c r="AP12" s="167">
        <v>19</v>
      </c>
      <c r="AQ12" s="167">
        <v>20</v>
      </c>
      <c r="AR12" s="167">
        <v>21</v>
      </c>
      <c r="AS12" s="167">
        <v>22</v>
      </c>
      <c r="AT12" s="37">
        <v>23</v>
      </c>
      <c r="AU12" s="37">
        <v>24</v>
      </c>
      <c r="AV12" s="167">
        <v>25</v>
      </c>
      <c r="AW12" s="167">
        <v>26</v>
      </c>
      <c r="AX12" s="167">
        <v>27</v>
      </c>
      <c r="AY12" s="167">
        <v>28</v>
      </c>
      <c r="AZ12" s="167">
        <v>29</v>
      </c>
      <c r="BA12" s="37">
        <v>30</v>
      </c>
      <c r="BB12" s="37">
        <v>31</v>
      </c>
      <c r="BC12" s="154" t="str">
        <f>IF($B$2="BG","Утежнение за позиция в блок/две реклами в блок","Surcharge in the block/two ad unit")</f>
        <v>Утежнение за позиция в блок/две реклами в блок</v>
      </c>
      <c r="BD12" s="154" t="str">
        <f>IF($B$2="BG","Утежнение за съвместна реклама","Co-Ad surcharge")</f>
        <v>Утежнение за съвместна реклама</v>
      </c>
      <c r="BE12" s="154" t="str">
        <f>IF($B$2="BG","Закъснение","Delay")</f>
        <v>Закъснение</v>
      </c>
      <c r="BF12" s="154" t="str">
        <f>IF($B$2="BG","Цена за клип/СЗ/ПР без утежнения","Price for spot/ST/PR without surcharge")</f>
        <v>Цена за клип/СЗ/ПР без утежнения</v>
      </c>
      <c r="BG12" s="154" t="str">
        <f>IF($B$2="BG","Цена с утежнения за позиция и марка","Price with surcharge for Position and Brand")</f>
        <v>Цена с утежнения за позиция и марка</v>
      </c>
      <c r="BH12" s="154" t="str">
        <f>IF($B$2="BG","Утежнения за позиция и марка","Price surcharge for Position and Brand")</f>
        <v>Утежнения за позиция и марка</v>
      </c>
      <c r="BI12" s="154" t="str">
        <f>IF($B$2="BG","Утежнения закъснение","Surcharge for Delay")</f>
        <v>Утежнения закъснение</v>
      </c>
      <c r="BJ12" s="154" t="str">
        <f>IF($B$2="BG","Общо утежнение","Total Surcharge")</f>
        <v>Общо утежнение</v>
      </c>
      <c r="BL12" s="31" t="s">
        <v>0</v>
      </c>
      <c r="BM12" s="31" t="s">
        <v>1</v>
      </c>
      <c r="BN12" s="31" t="s">
        <v>2</v>
      </c>
      <c r="BO12" s="31" t="s">
        <v>3</v>
      </c>
      <c r="BP12" s="31" t="s">
        <v>4</v>
      </c>
      <c r="BQ12" s="31" t="s">
        <v>5</v>
      </c>
    </row>
    <row r="13" spans="1:69" ht="12.75" customHeight="1">
      <c r="A13" s="38"/>
      <c r="B13" s="39"/>
      <c r="C13" s="40"/>
      <c r="D13" s="41"/>
      <c r="E13" s="42">
        <f>IF(D13="","",ABS(LEFT(D13,2)))</f>
      </c>
      <c r="F13" s="42">
        <f>IF(D13="","",IF((E13&gt;=19)*(E13&lt;22),"PT","OPT"))</f>
      </c>
      <c r="G13" s="132"/>
      <c r="H13" s="43">
        <f>SUMIF(time100,D13,data!$K$16:$K$21)</f>
        <v>0</v>
      </c>
      <c r="I13" s="89">
        <f>COUNTA(X13:BB13)</f>
        <v>0</v>
      </c>
      <c r="J13" s="249">
        <f aca="true" t="shared" si="1" ref="J13:J42">IF(D13="",0,(K13*L13+M13*N13+O13*P13+Q13*R13+S13*T13+U13*V13)*W13)</f>
        <v>0</v>
      </c>
      <c r="K13" s="33" t="b">
        <f>IF($X$4="Да/Yes",0,IF(G13="Spons tag",H13/2,IF(G13="Spot",$G$4*H13,IF(G13="Paid report",H13*$G$4*1,IF(AND(G13="Cut-in",$G$4&lt;=10),H13*0.7,IF(G13="Break ID with VO 7+7",H13*1.2,IF(AND(G13="Spons promo",$G$4&lt;=10),H13/2,IF(G13="Break ID 7+7",H13))))))))</f>
        <v>0</v>
      </c>
      <c r="L13" s="34">
        <f>COUNTIF(X13:BB13,$E$4)</f>
        <v>0</v>
      </c>
      <c r="M13" s="33" t="b">
        <f>IF($X$5="Да/Yes",0,IF(G13="Spons tag",H13/2,IF(G13="Spot",$G$5*H13,IF(G13="Paid report",H13*$G$5*1,IF(AND(G13="Cut-in",$G$5&lt;=10),H13*0.7,IF(G13="Break ID with VO 7+7",H13*1.2,IF(AND(G13="Spons promo",$G$5&lt;=10),H13/2,IF(G13="Break ID 7+7",H13))))))))</f>
        <v>0</v>
      </c>
      <c r="N13" s="34">
        <f>COUNTIF(X13:BB13,$E$5)</f>
        <v>0</v>
      </c>
      <c r="O13" s="33" t="b">
        <f>IF($X$6="Да/Yes",0,IF(G13="Spons tag",H13/2,IF(G13="Spot",$G$6*H13,IF(G13="Paid report",H13*$G$6*1,IF(AND(G13="Cut-in",$G$6&lt;=10),H13*0.7,IF(G13="Break ID with VO 7+7",H13*1.2,IF(AND(G13="Spons promo",$G$6&lt;=10),H13/2,IF(G13="Break ID 7+7",H13))))))))</f>
        <v>0</v>
      </c>
      <c r="P13" s="34">
        <f>COUNTIF(X13:BB13,$E$6)</f>
        <v>0</v>
      </c>
      <c r="Q13" s="33" t="b">
        <f>IF($X$7="Да/Yes",0,IF(G13="Spons tag",H13/2,IF(G13="Spot",$G$7*H13,IF(G13="Paid report",H13*$G$7*1,IF(AND(G13="Cut-in",$G$7&lt;=10),H13*0.7,IF(G13="Break ID with VO 7+7",H13*1.2,IF(AND(G13="Spons promo",$G$7&lt;=10),H13/2,IF(G13="Break ID 7+7",H13))))))))</f>
        <v>0</v>
      </c>
      <c r="R13" s="34">
        <f>COUNTIF(X13:BB13,$E$7)</f>
        <v>0</v>
      </c>
      <c r="S13" s="33" t="b">
        <f>IF($X$8="Да/Yes",0,IF(G13="Spons tag",H13/2,IF(G13="Spot",$G$8*H13,IF(G13="Paid report",H13*$G$8*1,IF(AND(G13="Cut-in",$G$8&lt;=10),H13*0.7,IF(G13="Break ID with VO 7+7",H13*1.2,IF(AND(G13="Spons promo",$G$8&lt;=10),H13/2,IF(G13="Break ID 7+7",H13))))))))</f>
        <v>0</v>
      </c>
      <c r="T13" s="34">
        <f>COUNTIF(X13:BB13,$E$8)</f>
        <v>0</v>
      </c>
      <c r="U13" s="33" t="b">
        <f>IF($X$9="Да/Yes",0,IF(G13="Spons tag",H13/2,IF(G13="Spot",$G$9*H13,IF(G13="Paid report",H13*$G$9*1,IF(AND(G13="Cut-in",$G$9&lt;=10),H13*0.7,IF(G13="Break ID with VO 7+7",H13*1.2,IF(AND(G13="Spons promo",$G$9&lt;=10),H13/2,IF(G13="Break ID 7+7",H13))))))))</f>
        <v>0</v>
      </c>
      <c r="V13" s="34">
        <f>COUNTIF(X13:BB13,$E$9)</f>
        <v>0</v>
      </c>
      <c r="W13" s="35">
        <f>IF(BC13="",1,VLOOKUP(BC13,data!$C$3:$D$10,2,FALSE))*(1+BD13)</f>
        <v>1</v>
      </c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38"/>
      <c r="BD13" s="44"/>
      <c r="BE13" s="44"/>
      <c r="BF13" s="43">
        <f>IF(I13=0,0,(K13*L13+M13*N13+O13*P13+Q13*R13+S13*T13+U13*V13)/I13)</f>
        <v>0</v>
      </c>
      <c r="BG13" s="43">
        <f>IF(I13=0,0,J13/I13)</f>
        <v>0</v>
      </c>
      <c r="BH13" s="43">
        <f>IF((BG13-BF13)&gt;0,(BG13-BF13)*I13,0)</f>
        <v>0</v>
      </c>
      <c r="BI13" s="43">
        <f>BE13*BG13</f>
        <v>0</v>
      </c>
      <c r="BJ13" s="43">
        <f>BH13+BI13</f>
        <v>0</v>
      </c>
      <c r="BL13" s="45">
        <f>((COUNTIF(X13:Z13,"A")*K13)+(COUNTIF(X13:Z13,"B")*M13)+(COUNTIF(X13:Z13,"C")*O13)+(COUNTIF(X13:Z13,"D")*Q13)+(COUNTIF(X13:Z13,"E")*S13)+(COUNTIF(X13:Z13,"F")*U13))*W13</f>
        <v>0</v>
      </c>
      <c r="BM13" s="45">
        <f>((COUNTIF(AA13:AG13,"A")*K13)+(COUNTIF(AA13:AG13,"B")*M13)+(COUNTIF(AA13:AG13,"C")*O13)+(COUNTIF(AA13:AG13,"D")*Q13)+(COUNTIF(AA13:AG13,"E")*S13)+(COUNTIF(AA13:AG13,"F")*U13))*W13</f>
        <v>0</v>
      </c>
      <c r="BN13" s="45">
        <f>((COUNTIF(AH13:AN13,"A")*K13)+(COUNTIF(AH13:AN13,"B")*M13)+(COUNTIF(AH13:AN13,"C")*O13)+(COUNTIF(AH13:AN13,"D")*Q13)+(COUNTIF(AH13:AN13,"E")*S13)++(COUNTIF(AH13:AN13,"F")*U13))*W13</f>
        <v>0</v>
      </c>
      <c r="BO13" s="45">
        <f>((COUNTIF(AO13:AU13,"A")*K13)+(COUNTIF(AO13:AU13,"B")*M13)+(COUNTIF(AO13:AU13,"C")*O13)+(COUNTIF(AO13:AU13,"D")*Q13)+(COUNTIF(AO13:AU13,"E")*S13)++(COUNTIF(AO13:AU13,"F")*U13))*W13</f>
        <v>0</v>
      </c>
      <c r="BP13" s="45">
        <f>((COUNTIF(AV13:BB13,"A")*K13)+(COUNTIF(AV13:BB13,"B")*M13)+(COUNTIF(AV13:BB13,"C")*O13)+(COUNTIF(AV13:BB13,"D")*Q13)+(COUNTIF(AV13:BB13,"E")*S13)+(COUNTIF(AV13:BB13,"F")*U13))*W13</f>
        <v>0</v>
      </c>
      <c r="BQ13" s="45">
        <f>((COUNTIF(BB13,"A")*K13)+(COUNTIF(BB13,"B")*M13)+(COUNTIF(BB13,"C")*O13)+(COUNTIF(BB13,"D")*Q13)+(COUNTIF(BB13,"E")*S13)+(COUNTIF(BB13,"F")*U13))*W13</f>
        <v>0</v>
      </c>
    </row>
    <row r="14" spans="1:69" ht="12.75" customHeight="1">
      <c r="A14" s="38"/>
      <c r="B14" s="39"/>
      <c r="C14" s="40"/>
      <c r="D14" s="41"/>
      <c r="E14" s="42">
        <f>IF(D14="","",ABS(LEFT(D14,2)))</f>
      </c>
      <c r="F14" s="42">
        <f>IF(D14="","",IF((E14&gt;=19)*(E14&lt;22),"PT","OPT"))</f>
      </c>
      <c r="G14" s="132"/>
      <c r="H14" s="43">
        <f>SUMIF(time100,D14,data!$K$16:$K$21)</f>
        <v>0</v>
      </c>
      <c r="I14" s="89">
        <f aca="true" t="shared" si="2" ref="I14:I42">COUNTA(X14:BB14)</f>
        <v>0</v>
      </c>
      <c r="J14" s="249">
        <f t="shared" si="1"/>
        <v>0</v>
      </c>
      <c r="K14" s="33" t="b">
        <f aca="true" t="shared" si="3" ref="K14:K42">IF($X$4="Да/Yes",0,IF(G14="Spons tag",H14/2,IF(G14="Spot",$G$4*H14,IF(G14="Paid report",H14*$G$4*1,IF(AND(G14="Cut-in",$G$4&lt;=10),H14*0.7,IF(G14="Break ID with VO 7+7",H14*1.2,IF(AND(G14="Spons promo",$G$4&lt;=10),H14/2,IF(G14="Break ID 7+7",H14))))))))</f>
        <v>0</v>
      </c>
      <c r="L14" s="34">
        <f aca="true" t="shared" si="4" ref="L14:L42">COUNTIF(X14:BB14,$E$4)</f>
        <v>0</v>
      </c>
      <c r="M14" s="33" t="b">
        <f aca="true" t="shared" si="5" ref="M14:M42">IF($X$5="Да/Yes",0,IF(G14="Spons tag",H14/2,IF(G14="Spot",$G$5*H14,IF(G14="Paid report",H14*$G$5*1,IF(AND(G14="Cut-in",$G$5&lt;=10),H14*0.7,IF(G14="Break ID with VO 7+7",H14*1.2,IF(AND(G14="Spons promo",$G$5&lt;=10),H14/2,IF(G14="Break ID 7+7",H14))))))))</f>
        <v>0</v>
      </c>
      <c r="N14" s="34">
        <f aca="true" t="shared" si="6" ref="N14:N42">COUNTIF(X14:BB14,$E$5)</f>
        <v>0</v>
      </c>
      <c r="O14" s="33" t="b">
        <f aca="true" t="shared" si="7" ref="O14:O42">IF($X$6="Да/Yes",0,IF(G14="Spons tag",H14/2,IF(G14="Spot",$G$6*H14,IF(G14="Paid report",H14*$G$6*1,IF(AND(G14="Cut-in",$G$6&lt;=10),H14*0.7,IF(G14="Break ID with VO 7+7",H14*1.2,IF(AND(G14="Spons promo",$G$6&lt;=10),H14/2,IF(G14="Break ID 7+7",H14))))))))</f>
        <v>0</v>
      </c>
      <c r="P14" s="34">
        <f aca="true" t="shared" si="8" ref="P14:P42">COUNTIF(X14:BB14,$E$6)</f>
        <v>0</v>
      </c>
      <c r="Q14" s="33" t="b">
        <f aca="true" t="shared" si="9" ref="Q14:Q42">IF($X$7="Да/Yes",0,IF(G14="Spons tag",H14/2,IF(G14="Spot",$G$7*H14,IF(G14="Paid report",H14*$G$7*1,IF(AND(G14="Cut-in",$G$7&lt;=10),H14*0.7,IF(G14="Break ID with VO 7+7",H14*1.2,IF(AND(G14="Spons promo",$G$7&lt;=10),H14/2,IF(G14="Break ID 7+7",H14))))))))</f>
        <v>0</v>
      </c>
      <c r="R14" s="34">
        <f aca="true" t="shared" si="10" ref="R14:R42">COUNTIF(X14:BB14,$E$7)</f>
        <v>0</v>
      </c>
      <c r="S14" s="33" t="b">
        <f aca="true" t="shared" si="11" ref="S14:S42">IF($X$8="Да/Yes",0,IF(G14="Spons tag",H14/2,IF(G14="Spot",$G$8*H14,IF(G14="Paid report",H14*$G$8*1,IF(AND(G14="Cut-in",$G$8&lt;=10),H14*0.7,IF(G14="Break ID with VO 7+7",H14*1.2,IF(AND(G14="Spons promo",$G$8&lt;=10),H14/2,IF(G14="Break ID 7+7",H14))))))))</f>
        <v>0</v>
      </c>
      <c r="T14" s="34">
        <f aca="true" t="shared" si="12" ref="T14:T42">COUNTIF(X14:BB14,$E$8)</f>
        <v>0</v>
      </c>
      <c r="U14" s="33" t="b">
        <f aca="true" t="shared" si="13" ref="U14:U42">IF($X$9="Да/Yes",0,IF(G14="Spons tag",H14/2,IF(G14="Spot",$G$9*H14,IF(G14="Paid report",H14*$G$9*1,IF(AND(G14="Cut-in",$G$9&lt;=10),H14*0.7,IF(G14="Break ID with VO 7+7",H14*1.2,IF(AND(G14="Spons promo",$G$9&lt;=10),H14/2,IF(G14="Break ID 7+7",H14))))))))</f>
        <v>0</v>
      </c>
      <c r="V14" s="34">
        <f aca="true" t="shared" si="14" ref="V14:V42">COUNTIF(X14:BB14,$E$9)</f>
        <v>0</v>
      </c>
      <c r="W14" s="35">
        <f>IF(BC14="",1,VLOOKUP(BC14,data!$C$3:$D$10,2,FALSE))*(1+BD14)</f>
        <v>1</v>
      </c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38"/>
      <c r="BD14" s="44"/>
      <c r="BE14" s="44"/>
      <c r="BF14" s="43">
        <f aca="true" t="shared" si="15" ref="BF14:BF42">IF(I14=0,0,(K14*L14+M14*N14+O14*P14+Q14*R14+S14*T14+U14*V14)/I14)</f>
        <v>0</v>
      </c>
      <c r="BG14" s="43">
        <f aca="true" t="shared" si="16" ref="BG14:BG42">IF(I14=0,0,J14/I14)</f>
        <v>0</v>
      </c>
      <c r="BH14" s="43">
        <f aca="true" t="shared" si="17" ref="BH14:BH42">IF((BG14-BF14)&gt;0,(BG14-BF14)*I14,0)</f>
        <v>0</v>
      </c>
      <c r="BI14" s="43">
        <f aca="true" t="shared" si="18" ref="BI14:BI42">BE14*BG14</f>
        <v>0</v>
      </c>
      <c r="BJ14" s="43">
        <f aca="true" t="shared" si="19" ref="BJ14:BJ42">BH14+BI14</f>
        <v>0</v>
      </c>
      <c r="BL14" s="45">
        <f aca="true" t="shared" si="20" ref="BL14:BL42">((COUNTIF(X14:Z14,"A")*K14)+(COUNTIF(X14:Z14,"B")*M14)+(COUNTIF(X14:Z14,"C")*O14)+(COUNTIF(X14:Z14,"D")*Q14)+(COUNTIF(X14:Z14,"E")*S14)+(COUNTIF(X14:Z14,"F")*U14))*W14</f>
        <v>0</v>
      </c>
      <c r="BM14" s="45">
        <f aca="true" t="shared" si="21" ref="BM14:BM42">((COUNTIF(AA14:AG14,"A")*K14)+(COUNTIF(AA14:AG14,"B")*M14)+(COUNTIF(AA14:AG14,"C")*O14)+(COUNTIF(AA14:AG14,"D")*Q14)+(COUNTIF(AA14:AG14,"E")*S14)+(COUNTIF(AA14:AG14,"F")*U14))*W14</f>
        <v>0</v>
      </c>
      <c r="BN14" s="45">
        <f aca="true" t="shared" si="22" ref="BN14:BN42">((COUNTIF(AH14:AN14,"A")*K14)+(COUNTIF(AH14:AN14,"B")*M14)+(COUNTIF(AH14:AN14,"C")*O14)+(COUNTIF(AH14:AN14,"D")*Q14)+(COUNTIF(AH14:AN14,"E")*S14)++(COUNTIF(AH14:AN14,"F")*U14))*W14</f>
        <v>0</v>
      </c>
      <c r="BO14" s="45">
        <f aca="true" t="shared" si="23" ref="BO14:BO42">((COUNTIF(AO14:AU14,"A")*K14)+(COUNTIF(AO14:AU14,"B")*M14)+(COUNTIF(AO14:AU14,"C")*O14)+(COUNTIF(AO14:AU14,"D")*Q14)+(COUNTIF(AO14:AU14,"E")*S14)++(COUNTIF(AO14:AU14,"F")*U14))*W14</f>
        <v>0</v>
      </c>
      <c r="BP14" s="45">
        <f aca="true" t="shared" si="24" ref="BP14:BP42">((COUNTIF(AV14:BB14,"A")*K14)+(COUNTIF(AV14:BB14,"B")*M14)+(COUNTIF(AV14:BB14,"C")*O14)+(COUNTIF(AV14:BB14,"D")*Q14)+(COUNTIF(AV14:BB14,"E")*S14)+(COUNTIF(AV14:BB14,"F")*U14))*W14</f>
        <v>0</v>
      </c>
      <c r="BQ14" s="45">
        <f aca="true" t="shared" si="25" ref="BQ14:BQ42">((COUNTIF(BB14,"A")*K14)+(COUNTIF(BB14,"B")*M14)+(COUNTIF(BB14,"C")*O14)+(COUNTIF(BB14,"D")*Q14)+(COUNTIF(BB14,"E")*S14)+(COUNTIF(BB14,"F")*U14))*W14</f>
        <v>0</v>
      </c>
    </row>
    <row r="15" spans="1:69" ht="12.75" customHeight="1">
      <c r="A15" s="38"/>
      <c r="B15" s="39"/>
      <c r="C15" s="40"/>
      <c r="D15" s="41"/>
      <c r="E15" s="42">
        <f>IF(D15="","",ABS(LEFT(D15,2)))</f>
      </c>
      <c r="F15" s="42">
        <f>IF(D15="","",IF((E15&gt;=19)*(E15&lt;22),"PT","OPT"))</f>
      </c>
      <c r="G15" s="132"/>
      <c r="H15" s="43">
        <f>SUMIF(time100,D15,data!$K$16:$K$21)</f>
        <v>0</v>
      </c>
      <c r="I15" s="89">
        <f t="shared" si="2"/>
        <v>0</v>
      </c>
      <c r="J15" s="249">
        <f t="shared" si="1"/>
        <v>0</v>
      </c>
      <c r="K15" s="33" t="b">
        <f t="shared" si="3"/>
        <v>0</v>
      </c>
      <c r="L15" s="34">
        <f t="shared" si="4"/>
        <v>0</v>
      </c>
      <c r="M15" s="33" t="b">
        <f t="shared" si="5"/>
        <v>0</v>
      </c>
      <c r="N15" s="34">
        <f t="shared" si="6"/>
        <v>0</v>
      </c>
      <c r="O15" s="33" t="b">
        <f t="shared" si="7"/>
        <v>0</v>
      </c>
      <c r="P15" s="34">
        <f t="shared" si="8"/>
        <v>0</v>
      </c>
      <c r="Q15" s="33" t="b">
        <f t="shared" si="9"/>
        <v>0</v>
      </c>
      <c r="R15" s="34">
        <f t="shared" si="10"/>
        <v>0</v>
      </c>
      <c r="S15" s="33" t="b">
        <f t="shared" si="11"/>
        <v>0</v>
      </c>
      <c r="T15" s="34">
        <f t="shared" si="12"/>
        <v>0</v>
      </c>
      <c r="U15" s="33" t="b">
        <f t="shared" si="13"/>
        <v>0</v>
      </c>
      <c r="V15" s="34">
        <f t="shared" si="14"/>
        <v>0</v>
      </c>
      <c r="W15" s="35">
        <f>IF(BC15="",1,VLOOKUP(BC15,data!$C$3:$D$10,2,FALSE))*(1+BD15)</f>
        <v>1</v>
      </c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38"/>
      <c r="BD15" s="44"/>
      <c r="BE15" s="44"/>
      <c r="BF15" s="43">
        <f t="shared" si="15"/>
        <v>0</v>
      </c>
      <c r="BG15" s="43">
        <f t="shared" si="16"/>
        <v>0</v>
      </c>
      <c r="BH15" s="43">
        <f t="shared" si="17"/>
        <v>0</v>
      </c>
      <c r="BI15" s="43">
        <f t="shared" si="18"/>
        <v>0</v>
      </c>
      <c r="BJ15" s="43">
        <f t="shared" si="19"/>
        <v>0</v>
      </c>
      <c r="BL15" s="45">
        <f t="shared" si="20"/>
        <v>0</v>
      </c>
      <c r="BM15" s="45">
        <f t="shared" si="21"/>
        <v>0</v>
      </c>
      <c r="BN15" s="45">
        <f t="shared" si="22"/>
        <v>0</v>
      </c>
      <c r="BO15" s="45">
        <f t="shared" si="23"/>
        <v>0</v>
      </c>
      <c r="BP15" s="45">
        <f t="shared" si="24"/>
        <v>0</v>
      </c>
      <c r="BQ15" s="45">
        <f t="shared" si="25"/>
        <v>0</v>
      </c>
    </row>
    <row r="16" spans="1:69" ht="12.75" customHeight="1">
      <c r="A16" s="38"/>
      <c r="B16" s="39"/>
      <c r="C16" s="40"/>
      <c r="D16" s="41"/>
      <c r="E16" s="42">
        <f>IF(D16="","",ABS(LEFT(D16,2)))</f>
      </c>
      <c r="F16" s="42">
        <f>IF(D16="","",IF((E16&gt;=19)*(E16&lt;22),"PT","OPT"))</f>
      </c>
      <c r="G16" s="132"/>
      <c r="H16" s="43">
        <f>SUMIF(time100,D16,data!$K$16:$K$21)</f>
        <v>0</v>
      </c>
      <c r="I16" s="89">
        <f t="shared" si="2"/>
        <v>0</v>
      </c>
      <c r="J16" s="249">
        <f t="shared" si="1"/>
        <v>0</v>
      </c>
      <c r="K16" s="33" t="b">
        <f t="shared" si="3"/>
        <v>0</v>
      </c>
      <c r="L16" s="34">
        <f t="shared" si="4"/>
        <v>0</v>
      </c>
      <c r="M16" s="33" t="b">
        <f t="shared" si="5"/>
        <v>0</v>
      </c>
      <c r="N16" s="34">
        <f t="shared" si="6"/>
        <v>0</v>
      </c>
      <c r="O16" s="33" t="b">
        <f t="shared" si="7"/>
        <v>0</v>
      </c>
      <c r="P16" s="34">
        <f t="shared" si="8"/>
        <v>0</v>
      </c>
      <c r="Q16" s="33" t="b">
        <f t="shared" si="9"/>
        <v>0</v>
      </c>
      <c r="R16" s="34">
        <f t="shared" si="10"/>
        <v>0</v>
      </c>
      <c r="S16" s="33" t="b">
        <f t="shared" si="11"/>
        <v>0</v>
      </c>
      <c r="T16" s="34">
        <f t="shared" si="12"/>
        <v>0</v>
      </c>
      <c r="U16" s="33" t="b">
        <f t="shared" si="13"/>
        <v>0</v>
      </c>
      <c r="V16" s="34">
        <f t="shared" si="14"/>
        <v>0</v>
      </c>
      <c r="W16" s="35">
        <f>IF(BC16="",1,VLOOKUP(BC16,data!$C$3:$D$10,2,FALSE))*(1+BD16)</f>
        <v>1</v>
      </c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38"/>
      <c r="BD16" s="44"/>
      <c r="BE16" s="44"/>
      <c r="BF16" s="43">
        <f t="shared" si="15"/>
        <v>0</v>
      </c>
      <c r="BG16" s="43">
        <f t="shared" si="16"/>
        <v>0</v>
      </c>
      <c r="BH16" s="43">
        <f t="shared" si="17"/>
        <v>0</v>
      </c>
      <c r="BI16" s="43">
        <f t="shared" si="18"/>
        <v>0</v>
      </c>
      <c r="BJ16" s="43">
        <f t="shared" si="19"/>
        <v>0</v>
      </c>
      <c r="BL16" s="45">
        <f t="shared" si="20"/>
        <v>0</v>
      </c>
      <c r="BM16" s="45">
        <f t="shared" si="21"/>
        <v>0</v>
      </c>
      <c r="BN16" s="45">
        <f t="shared" si="22"/>
        <v>0</v>
      </c>
      <c r="BO16" s="45">
        <f t="shared" si="23"/>
        <v>0</v>
      </c>
      <c r="BP16" s="45">
        <f t="shared" si="24"/>
        <v>0</v>
      </c>
      <c r="BQ16" s="45">
        <f t="shared" si="25"/>
        <v>0</v>
      </c>
    </row>
    <row r="17" spans="1:69" ht="12.75" customHeight="1">
      <c r="A17" s="38"/>
      <c r="B17" s="39"/>
      <c r="C17" s="40"/>
      <c r="D17" s="41"/>
      <c r="E17" s="42">
        <f aca="true" t="shared" si="26" ref="E17:E42">IF(D17="","",ABS(LEFT(D17,2)))</f>
      </c>
      <c r="F17" s="42">
        <f aca="true" t="shared" si="27" ref="F17:F42">IF(D17="","",IF((E17&gt;=19)*(E17&lt;22),"PT","OPT"))</f>
      </c>
      <c r="G17" s="132"/>
      <c r="H17" s="43">
        <f>SUMIF(time100,D17,data!$K$16:$K$21)</f>
        <v>0</v>
      </c>
      <c r="I17" s="89">
        <f t="shared" si="2"/>
        <v>0</v>
      </c>
      <c r="J17" s="249">
        <f t="shared" si="1"/>
        <v>0</v>
      </c>
      <c r="K17" s="33" t="b">
        <f t="shared" si="3"/>
        <v>0</v>
      </c>
      <c r="L17" s="34">
        <f t="shared" si="4"/>
        <v>0</v>
      </c>
      <c r="M17" s="33" t="b">
        <f t="shared" si="5"/>
        <v>0</v>
      </c>
      <c r="N17" s="34">
        <f t="shared" si="6"/>
        <v>0</v>
      </c>
      <c r="O17" s="33" t="b">
        <f t="shared" si="7"/>
        <v>0</v>
      </c>
      <c r="P17" s="34">
        <f t="shared" si="8"/>
        <v>0</v>
      </c>
      <c r="Q17" s="33" t="b">
        <f t="shared" si="9"/>
        <v>0</v>
      </c>
      <c r="R17" s="34">
        <f t="shared" si="10"/>
        <v>0</v>
      </c>
      <c r="S17" s="33" t="b">
        <f t="shared" si="11"/>
        <v>0</v>
      </c>
      <c r="T17" s="34">
        <f t="shared" si="12"/>
        <v>0</v>
      </c>
      <c r="U17" s="33" t="b">
        <f t="shared" si="13"/>
        <v>0</v>
      </c>
      <c r="V17" s="34">
        <f t="shared" si="14"/>
        <v>0</v>
      </c>
      <c r="W17" s="35">
        <f>IF(BC17="",1,VLOOKUP(BC17,data!$C$3:$D$10,2,FALSE))*(1+BD17)</f>
        <v>1</v>
      </c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38"/>
      <c r="BD17" s="44"/>
      <c r="BE17" s="44"/>
      <c r="BF17" s="43">
        <f t="shared" si="15"/>
        <v>0</v>
      </c>
      <c r="BG17" s="43">
        <f t="shared" si="16"/>
        <v>0</v>
      </c>
      <c r="BH17" s="43">
        <f t="shared" si="17"/>
        <v>0</v>
      </c>
      <c r="BI17" s="43">
        <f t="shared" si="18"/>
        <v>0</v>
      </c>
      <c r="BJ17" s="43">
        <f t="shared" si="19"/>
        <v>0</v>
      </c>
      <c r="BL17" s="45">
        <f t="shared" si="20"/>
        <v>0</v>
      </c>
      <c r="BM17" s="45">
        <f t="shared" si="21"/>
        <v>0</v>
      </c>
      <c r="BN17" s="45">
        <f t="shared" si="22"/>
        <v>0</v>
      </c>
      <c r="BO17" s="45">
        <f t="shared" si="23"/>
        <v>0</v>
      </c>
      <c r="BP17" s="45">
        <f t="shared" si="24"/>
        <v>0</v>
      </c>
      <c r="BQ17" s="45">
        <f t="shared" si="25"/>
        <v>0</v>
      </c>
    </row>
    <row r="18" spans="1:69" ht="12.75" customHeight="1">
      <c r="A18" s="38"/>
      <c r="B18" s="39"/>
      <c r="C18" s="40"/>
      <c r="D18" s="41"/>
      <c r="E18" s="42">
        <f t="shared" si="26"/>
      </c>
      <c r="F18" s="42">
        <f t="shared" si="27"/>
      </c>
      <c r="G18" s="132"/>
      <c r="H18" s="43">
        <f>SUMIF(time100,D18,data!$K$16:$K$21)</f>
        <v>0</v>
      </c>
      <c r="I18" s="89">
        <f t="shared" si="2"/>
        <v>0</v>
      </c>
      <c r="J18" s="249">
        <f t="shared" si="1"/>
        <v>0</v>
      </c>
      <c r="K18" s="33" t="b">
        <f t="shared" si="3"/>
        <v>0</v>
      </c>
      <c r="L18" s="34">
        <f t="shared" si="4"/>
        <v>0</v>
      </c>
      <c r="M18" s="33" t="b">
        <f t="shared" si="5"/>
        <v>0</v>
      </c>
      <c r="N18" s="34">
        <f t="shared" si="6"/>
        <v>0</v>
      </c>
      <c r="O18" s="33" t="b">
        <f t="shared" si="7"/>
        <v>0</v>
      </c>
      <c r="P18" s="34">
        <f t="shared" si="8"/>
        <v>0</v>
      </c>
      <c r="Q18" s="33" t="b">
        <f t="shared" si="9"/>
        <v>0</v>
      </c>
      <c r="R18" s="34">
        <f t="shared" si="10"/>
        <v>0</v>
      </c>
      <c r="S18" s="33" t="b">
        <f t="shared" si="11"/>
        <v>0</v>
      </c>
      <c r="T18" s="34">
        <f t="shared" si="12"/>
        <v>0</v>
      </c>
      <c r="U18" s="33" t="b">
        <f t="shared" si="13"/>
        <v>0</v>
      </c>
      <c r="V18" s="34">
        <f t="shared" si="14"/>
        <v>0</v>
      </c>
      <c r="W18" s="35">
        <f>IF(BC18="",1,VLOOKUP(BC18,data!$C$3:$D$10,2,FALSE))*(1+BD18)</f>
        <v>1</v>
      </c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38"/>
      <c r="BD18" s="44"/>
      <c r="BE18" s="44"/>
      <c r="BF18" s="43">
        <f t="shared" si="15"/>
        <v>0</v>
      </c>
      <c r="BG18" s="43">
        <f t="shared" si="16"/>
        <v>0</v>
      </c>
      <c r="BH18" s="43">
        <f t="shared" si="17"/>
        <v>0</v>
      </c>
      <c r="BI18" s="43">
        <f t="shared" si="18"/>
        <v>0</v>
      </c>
      <c r="BJ18" s="43">
        <f t="shared" si="19"/>
        <v>0</v>
      </c>
      <c r="BL18" s="45">
        <f t="shared" si="20"/>
        <v>0</v>
      </c>
      <c r="BM18" s="45">
        <f t="shared" si="21"/>
        <v>0</v>
      </c>
      <c r="BN18" s="45">
        <f t="shared" si="22"/>
        <v>0</v>
      </c>
      <c r="BO18" s="45">
        <f t="shared" si="23"/>
        <v>0</v>
      </c>
      <c r="BP18" s="45">
        <f t="shared" si="24"/>
        <v>0</v>
      </c>
      <c r="BQ18" s="45">
        <f t="shared" si="25"/>
        <v>0</v>
      </c>
    </row>
    <row r="19" spans="1:69" ht="12.75" customHeight="1">
      <c r="A19" s="38"/>
      <c r="B19" s="39"/>
      <c r="C19" s="40"/>
      <c r="D19" s="41"/>
      <c r="E19" s="42">
        <f t="shared" si="26"/>
      </c>
      <c r="F19" s="42">
        <f t="shared" si="27"/>
      </c>
      <c r="G19" s="132"/>
      <c r="H19" s="43">
        <f>SUMIF(time100,D19,data!$K$16:$K$21)</f>
        <v>0</v>
      </c>
      <c r="I19" s="89">
        <f t="shared" si="2"/>
        <v>0</v>
      </c>
      <c r="J19" s="249">
        <f t="shared" si="1"/>
        <v>0</v>
      </c>
      <c r="K19" s="33" t="b">
        <f t="shared" si="3"/>
        <v>0</v>
      </c>
      <c r="L19" s="34">
        <f t="shared" si="4"/>
        <v>0</v>
      </c>
      <c r="M19" s="33" t="b">
        <f t="shared" si="5"/>
        <v>0</v>
      </c>
      <c r="N19" s="34">
        <f t="shared" si="6"/>
        <v>0</v>
      </c>
      <c r="O19" s="33" t="b">
        <f t="shared" si="7"/>
        <v>0</v>
      </c>
      <c r="P19" s="34">
        <f t="shared" si="8"/>
        <v>0</v>
      </c>
      <c r="Q19" s="33" t="b">
        <f t="shared" si="9"/>
        <v>0</v>
      </c>
      <c r="R19" s="34">
        <f t="shared" si="10"/>
        <v>0</v>
      </c>
      <c r="S19" s="33" t="b">
        <f t="shared" si="11"/>
        <v>0</v>
      </c>
      <c r="T19" s="34">
        <f t="shared" si="12"/>
        <v>0</v>
      </c>
      <c r="U19" s="33" t="b">
        <f t="shared" si="13"/>
        <v>0</v>
      </c>
      <c r="V19" s="34">
        <f t="shared" si="14"/>
        <v>0</v>
      </c>
      <c r="W19" s="35">
        <f>IF(BC19="",1,VLOOKUP(BC19,data!$C$3:$D$10,2,FALSE))*(1+BD19)</f>
        <v>1</v>
      </c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38"/>
      <c r="BD19" s="44"/>
      <c r="BE19" s="44"/>
      <c r="BF19" s="43">
        <f t="shared" si="15"/>
        <v>0</v>
      </c>
      <c r="BG19" s="43">
        <f t="shared" si="16"/>
        <v>0</v>
      </c>
      <c r="BH19" s="43">
        <f t="shared" si="17"/>
        <v>0</v>
      </c>
      <c r="BI19" s="43">
        <f t="shared" si="18"/>
        <v>0</v>
      </c>
      <c r="BJ19" s="43">
        <f t="shared" si="19"/>
        <v>0</v>
      </c>
      <c r="BL19" s="45">
        <f t="shared" si="20"/>
        <v>0</v>
      </c>
      <c r="BM19" s="45">
        <f t="shared" si="21"/>
        <v>0</v>
      </c>
      <c r="BN19" s="45">
        <f t="shared" si="22"/>
        <v>0</v>
      </c>
      <c r="BO19" s="45">
        <f t="shared" si="23"/>
        <v>0</v>
      </c>
      <c r="BP19" s="45">
        <f t="shared" si="24"/>
        <v>0</v>
      </c>
      <c r="BQ19" s="45">
        <f t="shared" si="25"/>
        <v>0</v>
      </c>
    </row>
    <row r="20" spans="1:69" ht="12.75" customHeight="1">
      <c r="A20" s="38"/>
      <c r="B20" s="39"/>
      <c r="C20" s="40"/>
      <c r="D20" s="41"/>
      <c r="E20" s="42">
        <f t="shared" si="26"/>
      </c>
      <c r="F20" s="42">
        <f t="shared" si="27"/>
      </c>
      <c r="G20" s="132"/>
      <c r="H20" s="43">
        <f>SUMIF(time100,D20,data!$K$16:$K$21)</f>
        <v>0</v>
      </c>
      <c r="I20" s="89">
        <f t="shared" si="2"/>
        <v>0</v>
      </c>
      <c r="J20" s="249">
        <f t="shared" si="1"/>
        <v>0</v>
      </c>
      <c r="K20" s="33" t="b">
        <f t="shared" si="3"/>
        <v>0</v>
      </c>
      <c r="L20" s="34">
        <f t="shared" si="4"/>
        <v>0</v>
      </c>
      <c r="M20" s="33" t="b">
        <f t="shared" si="5"/>
        <v>0</v>
      </c>
      <c r="N20" s="34">
        <f t="shared" si="6"/>
        <v>0</v>
      </c>
      <c r="O20" s="33" t="b">
        <f t="shared" si="7"/>
        <v>0</v>
      </c>
      <c r="P20" s="34">
        <f t="shared" si="8"/>
        <v>0</v>
      </c>
      <c r="Q20" s="33" t="b">
        <f t="shared" si="9"/>
        <v>0</v>
      </c>
      <c r="R20" s="34">
        <f t="shared" si="10"/>
        <v>0</v>
      </c>
      <c r="S20" s="33" t="b">
        <f t="shared" si="11"/>
        <v>0</v>
      </c>
      <c r="T20" s="34">
        <f t="shared" si="12"/>
        <v>0</v>
      </c>
      <c r="U20" s="33" t="b">
        <f t="shared" si="13"/>
        <v>0</v>
      </c>
      <c r="V20" s="34">
        <f t="shared" si="14"/>
        <v>0</v>
      </c>
      <c r="W20" s="35">
        <f>IF(BC20="",1,VLOOKUP(BC20,data!$C$3:$D$10,2,FALSE))*(1+BD20)</f>
        <v>1</v>
      </c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38"/>
      <c r="BD20" s="44"/>
      <c r="BE20" s="44"/>
      <c r="BF20" s="43">
        <f t="shared" si="15"/>
        <v>0</v>
      </c>
      <c r="BG20" s="43">
        <f t="shared" si="16"/>
        <v>0</v>
      </c>
      <c r="BH20" s="43">
        <f t="shared" si="17"/>
        <v>0</v>
      </c>
      <c r="BI20" s="43">
        <f t="shared" si="18"/>
        <v>0</v>
      </c>
      <c r="BJ20" s="43">
        <f t="shared" si="19"/>
        <v>0</v>
      </c>
      <c r="BL20" s="45">
        <f t="shared" si="20"/>
        <v>0</v>
      </c>
      <c r="BM20" s="45">
        <f t="shared" si="21"/>
        <v>0</v>
      </c>
      <c r="BN20" s="45">
        <f t="shared" si="22"/>
        <v>0</v>
      </c>
      <c r="BO20" s="45">
        <f t="shared" si="23"/>
        <v>0</v>
      </c>
      <c r="BP20" s="45">
        <f t="shared" si="24"/>
        <v>0</v>
      </c>
      <c r="BQ20" s="45">
        <f t="shared" si="25"/>
        <v>0</v>
      </c>
    </row>
    <row r="21" spans="1:69" ht="12.75" customHeight="1">
      <c r="A21" s="38"/>
      <c r="B21" s="39"/>
      <c r="C21" s="40"/>
      <c r="D21" s="41"/>
      <c r="E21" s="42">
        <f t="shared" si="26"/>
      </c>
      <c r="F21" s="42">
        <f t="shared" si="27"/>
      </c>
      <c r="G21" s="132"/>
      <c r="H21" s="43">
        <f>SUMIF(time100,D21,data!$K$16:$K$21)</f>
        <v>0</v>
      </c>
      <c r="I21" s="89">
        <f t="shared" si="2"/>
        <v>0</v>
      </c>
      <c r="J21" s="249">
        <f t="shared" si="1"/>
        <v>0</v>
      </c>
      <c r="K21" s="33" t="b">
        <f t="shared" si="3"/>
        <v>0</v>
      </c>
      <c r="L21" s="34">
        <f t="shared" si="4"/>
        <v>0</v>
      </c>
      <c r="M21" s="33" t="b">
        <f t="shared" si="5"/>
        <v>0</v>
      </c>
      <c r="N21" s="34">
        <f t="shared" si="6"/>
        <v>0</v>
      </c>
      <c r="O21" s="33" t="b">
        <f t="shared" si="7"/>
        <v>0</v>
      </c>
      <c r="P21" s="34">
        <f t="shared" si="8"/>
        <v>0</v>
      </c>
      <c r="Q21" s="33" t="b">
        <f t="shared" si="9"/>
        <v>0</v>
      </c>
      <c r="R21" s="34">
        <f t="shared" si="10"/>
        <v>0</v>
      </c>
      <c r="S21" s="33" t="b">
        <f t="shared" si="11"/>
        <v>0</v>
      </c>
      <c r="T21" s="34">
        <f t="shared" si="12"/>
        <v>0</v>
      </c>
      <c r="U21" s="33" t="b">
        <f t="shared" si="13"/>
        <v>0</v>
      </c>
      <c r="V21" s="34">
        <f t="shared" si="14"/>
        <v>0</v>
      </c>
      <c r="W21" s="35">
        <f>IF(BC21="",1,VLOOKUP(BC21,data!$C$3:$D$10,2,FALSE))*(1+BD21)</f>
        <v>1</v>
      </c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38"/>
      <c r="BD21" s="44"/>
      <c r="BE21" s="44"/>
      <c r="BF21" s="43">
        <f t="shared" si="15"/>
        <v>0</v>
      </c>
      <c r="BG21" s="43">
        <f t="shared" si="16"/>
        <v>0</v>
      </c>
      <c r="BH21" s="43">
        <f t="shared" si="17"/>
        <v>0</v>
      </c>
      <c r="BI21" s="43">
        <f t="shared" si="18"/>
        <v>0</v>
      </c>
      <c r="BJ21" s="43">
        <f t="shared" si="19"/>
        <v>0</v>
      </c>
      <c r="BL21" s="45">
        <f t="shared" si="20"/>
        <v>0</v>
      </c>
      <c r="BM21" s="45">
        <f t="shared" si="21"/>
        <v>0</v>
      </c>
      <c r="BN21" s="45">
        <f t="shared" si="22"/>
        <v>0</v>
      </c>
      <c r="BO21" s="45">
        <f t="shared" si="23"/>
        <v>0</v>
      </c>
      <c r="BP21" s="45">
        <f t="shared" si="24"/>
        <v>0</v>
      </c>
      <c r="BQ21" s="45">
        <f t="shared" si="25"/>
        <v>0</v>
      </c>
    </row>
    <row r="22" spans="1:69" ht="12.75" customHeight="1">
      <c r="A22" s="38"/>
      <c r="B22" s="39"/>
      <c r="C22" s="40"/>
      <c r="D22" s="41"/>
      <c r="E22" s="42">
        <f t="shared" si="26"/>
      </c>
      <c r="F22" s="42">
        <f t="shared" si="27"/>
      </c>
      <c r="G22" s="132"/>
      <c r="H22" s="43">
        <f>SUMIF(time100,D22,data!$K$16:$K$21)</f>
        <v>0</v>
      </c>
      <c r="I22" s="89">
        <f t="shared" si="2"/>
        <v>0</v>
      </c>
      <c r="J22" s="249">
        <f t="shared" si="1"/>
        <v>0</v>
      </c>
      <c r="K22" s="33" t="b">
        <f t="shared" si="3"/>
        <v>0</v>
      </c>
      <c r="L22" s="34">
        <f t="shared" si="4"/>
        <v>0</v>
      </c>
      <c r="M22" s="33" t="b">
        <f t="shared" si="5"/>
        <v>0</v>
      </c>
      <c r="N22" s="34">
        <f t="shared" si="6"/>
        <v>0</v>
      </c>
      <c r="O22" s="33" t="b">
        <f t="shared" si="7"/>
        <v>0</v>
      </c>
      <c r="P22" s="34">
        <f t="shared" si="8"/>
        <v>0</v>
      </c>
      <c r="Q22" s="33" t="b">
        <f t="shared" si="9"/>
        <v>0</v>
      </c>
      <c r="R22" s="34">
        <f t="shared" si="10"/>
        <v>0</v>
      </c>
      <c r="S22" s="33" t="b">
        <f t="shared" si="11"/>
        <v>0</v>
      </c>
      <c r="T22" s="34">
        <f t="shared" si="12"/>
        <v>0</v>
      </c>
      <c r="U22" s="33" t="b">
        <f t="shared" si="13"/>
        <v>0</v>
      </c>
      <c r="V22" s="34">
        <f t="shared" si="14"/>
        <v>0</v>
      </c>
      <c r="W22" s="35">
        <f>IF(BC22="",1,VLOOKUP(BC22,data!$C$3:$D$10,2,FALSE))*(1+BD22)</f>
        <v>1</v>
      </c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38"/>
      <c r="BD22" s="44"/>
      <c r="BE22" s="44"/>
      <c r="BF22" s="43">
        <f t="shared" si="15"/>
        <v>0</v>
      </c>
      <c r="BG22" s="43">
        <f t="shared" si="16"/>
        <v>0</v>
      </c>
      <c r="BH22" s="43">
        <f t="shared" si="17"/>
        <v>0</v>
      </c>
      <c r="BI22" s="43">
        <f t="shared" si="18"/>
        <v>0</v>
      </c>
      <c r="BJ22" s="43">
        <f t="shared" si="19"/>
        <v>0</v>
      </c>
      <c r="BL22" s="45">
        <f t="shared" si="20"/>
        <v>0</v>
      </c>
      <c r="BM22" s="45">
        <f t="shared" si="21"/>
        <v>0</v>
      </c>
      <c r="BN22" s="45">
        <f t="shared" si="22"/>
        <v>0</v>
      </c>
      <c r="BO22" s="45">
        <f t="shared" si="23"/>
        <v>0</v>
      </c>
      <c r="BP22" s="45">
        <f t="shared" si="24"/>
        <v>0</v>
      </c>
      <c r="BQ22" s="45">
        <f t="shared" si="25"/>
        <v>0</v>
      </c>
    </row>
    <row r="23" spans="1:69" ht="12.75" customHeight="1">
      <c r="A23" s="38"/>
      <c r="B23" s="39"/>
      <c r="C23" s="40"/>
      <c r="D23" s="41"/>
      <c r="E23" s="42">
        <f t="shared" si="26"/>
      </c>
      <c r="F23" s="42">
        <f t="shared" si="27"/>
      </c>
      <c r="G23" s="132"/>
      <c r="H23" s="43">
        <f>SUMIF(time100,D23,data!$K$16:$K$21)</f>
        <v>0</v>
      </c>
      <c r="I23" s="89">
        <f t="shared" si="2"/>
        <v>0</v>
      </c>
      <c r="J23" s="249">
        <f t="shared" si="1"/>
        <v>0</v>
      </c>
      <c r="K23" s="33" t="b">
        <f t="shared" si="3"/>
        <v>0</v>
      </c>
      <c r="L23" s="34">
        <f t="shared" si="4"/>
        <v>0</v>
      </c>
      <c r="M23" s="33" t="b">
        <f t="shared" si="5"/>
        <v>0</v>
      </c>
      <c r="N23" s="34">
        <f t="shared" si="6"/>
        <v>0</v>
      </c>
      <c r="O23" s="33" t="b">
        <f t="shared" si="7"/>
        <v>0</v>
      </c>
      <c r="P23" s="34">
        <f t="shared" si="8"/>
        <v>0</v>
      </c>
      <c r="Q23" s="33" t="b">
        <f t="shared" si="9"/>
        <v>0</v>
      </c>
      <c r="R23" s="34">
        <f t="shared" si="10"/>
        <v>0</v>
      </c>
      <c r="S23" s="33" t="b">
        <f t="shared" si="11"/>
        <v>0</v>
      </c>
      <c r="T23" s="34">
        <f t="shared" si="12"/>
        <v>0</v>
      </c>
      <c r="U23" s="33" t="b">
        <f t="shared" si="13"/>
        <v>0</v>
      </c>
      <c r="V23" s="34">
        <f t="shared" si="14"/>
        <v>0</v>
      </c>
      <c r="W23" s="35">
        <f>IF(BC23="",1,VLOOKUP(BC23,data!$C$3:$D$10,2,FALSE))*(1+BD23)</f>
        <v>1</v>
      </c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38"/>
      <c r="BD23" s="44"/>
      <c r="BE23" s="44"/>
      <c r="BF23" s="43">
        <f t="shared" si="15"/>
        <v>0</v>
      </c>
      <c r="BG23" s="43">
        <f t="shared" si="16"/>
        <v>0</v>
      </c>
      <c r="BH23" s="43">
        <f t="shared" si="17"/>
        <v>0</v>
      </c>
      <c r="BI23" s="43">
        <f t="shared" si="18"/>
        <v>0</v>
      </c>
      <c r="BJ23" s="43">
        <f t="shared" si="19"/>
        <v>0</v>
      </c>
      <c r="BL23" s="45">
        <f t="shared" si="20"/>
        <v>0</v>
      </c>
      <c r="BM23" s="45">
        <f t="shared" si="21"/>
        <v>0</v>
      </c>
      <c r="BN23" s="45">
        <f t="shared" si="22"/>
        <v>0</v>
      </c>
      <c r="BO23" s="45">
        <f t="shared" si="23"/>
        <v>0</v>
      </c>
      <c r="BP23" s="45">
        <f t="shared" si="24"/>
        <v>0</v>
      </c>
      <c r="BQ23" s="45">
        <f t="shared" si="25"/>
        <v>0</v>
      </c>
    </row>
    <row r="24" spans="1:69" ht="12.75" customHeight="1">
      <c r="A24" s="38"/>
      <c r="B24" s="39"/>
      <c r="C24" s="40"/>
      <c r="D24" s="41"/>
      <c r="E24" s="42">
        <f t="shared" si="26"/>
      </c>
      <c r="F24" s="42">
        <f t="shared" si="27"/>
      </c>
      <c r="G24" s="132"/>
      <c r="H24" s="43">
        <f>SUMIF(time100,D24,data!$K$16:$K$21)</f>
        <v>0</v>
      </c>
      <c r="I24" s="89">
        <f t="shared" si="2"/>
        <v>0</v>
      </c>
      <c r="J24" s="249">
        <f t="shared" si="1"/>
        <v>0</v>
      </c>
      <c r="K24" s="33" t="b">
        <f t="shared" si="3"/>
        <v>0</v>
      </c>
      <c r="L24" s="34">
        <f t="shared" si="4"/>
        <v>0</v>
      </c>
      <c r="M24" s="33" t="b">
        <f t="shared" si="5"/>
        <v>0</v>
      </c>
      <c r="N24" s="34">
        <f t="shared" si="6"/>
        <v>0</v>
      </c>
      <c r="O24" s="33" t="b">
        <f t="shared" si="7"/>
        <v>0</v>
      </c>
      <c r="P24" s="34">
        <f t="shared" si="8"/>
        <v>0</v>
      </c>
      <c r="Q24" s="33" t="b">
        <f t="shared" si="9"/>
        <v>0</v>
      </c>
      <c r="R24" s="34">
        <f t="shared" si="10"/>
        <v>0</v>
      </c>
      <c r="S24" s="33" t="b">
        <f t="shared" si="11"/>
        <v>0</v>
      </c>
      <c r="T24" s="34">
        <f t="shared" si="12"/>
        <v>0</v>
      </c>
      <c r="U24" s="33" t="b">
        <f t="shared" si="13"/>
        <v>0</v>
      </c>
      <c r="V24" s="34">
        <f t="shared" si="14"/>
        <v>0</v>
      </c>
      <c r="W24" s="35">
        <f>IF(BC24="",1,VLOOKUP(BC24,data!$C$3:$D$10,2,FALSE))*(1+BD24)</f>
        <v>1</v>
      </c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38"/>
      <c r="BD24" s="44"/>
      <c r="BE24" s="44"/>
      <c r="BF24" s="43">
        <f t="shared" si="15"/>
        <v>0</v>
      </c>
      <c r="BG24" s="43">
        <f t="shared" si="16"/>
        <v>0</v>
      </c>
      <c r="BH24" s="43">
        <f t="shared" si="17"/>
        <v>0</v>
      </c>
      <c r="BI24" s="43">
        <f t="shared" si="18"/>
        <v>0</v>
      </c>
      <c r="BJ24" s="43">
        <f t="shared" si="19"/>
        <v>0</v>
      </c>
      <c r="BL24" s="45">
        <f t="shared" si="20"/>
        <v>0</v>
      </c>
      <c r="BM24" s="45">
        <f t="shared" si="21"/>
        <v>0</v>
      </c>
      <c r="BN24" s="45">
        <f t="shared" si="22"/>
        <v>0</v>
      </c>
      <c r="BO24" s="45">
        <f t="shared" si="23"/>
        <v>0</v>
      </c>
      <c r="BP24" s="45">
        <f t="shared" si="24"/>
        <v>0</v>
      </c>
      <c r="BQ24" s="45">
        <f t="shared" si="25"/>
        <v>0</v>
      </c>
    </row>
    <row r="25" spans="1:69" ht="12.75" customHeight="1">
      <c r="A25" s="38"/>
      <c r="B25" s="39"/>
      <c r="C25" s="40"/>
      <c r="D25" s="41"/>
      <c r="E25" s="42">
        <f t="shared" si="26"/>
      </c>
      <c r="F25" s="42">
        <f t="shared" si="27"/>
      </c>
      <c r="G25" s="132"/>
      <c r="H25" s="43">
        <f>SUMIF(time100,D25,data!$K$16:$K$21)</f>
        <v>0</v>
      </c>
      <c r="I25" s="89">
        <f t="shared" si="2"/>
        <v>0</v>
      </c>
      <c r="J25" s="249">
        <f t="shared" si="1"/>
        <v>0</v>
      </c>
      <c r="K25" s="33" t="b">
        <f t="shared" si="3"/>
        <v>0</v>
      </c>
      <c r="L25" s="34">
        <f t="shared" si="4"/>
        <v>0</v>
      </c>
      <c r="M25" s="33" t="b">
        <f t="shared" si="5"/>
        <v>0</v>
      </c>
      <c r="N25" s="34">
        <f t="shared" si="6"/>
        <v>0</v>
      </c>
      <c r="O25" s="33" t="b">
        <f t="shared" si="7"/>
        <v>0</v>
      </c>
      <c r="P25" s="34">
        <f t="shared" si="8"/>
        <v>0</v>
      </c>
      <c r="Q25" s="33" t="b">
        <f t="shared" si="9"/>
        <v>0</v>
      </c>
      <c r="R25" s="34">
        <f t="shared" si="10"/>
        <v>0</v>
      </c>
      <c r="S25" s="33" t="b">
        <f t="shared" si="11"/>
        <v>0</v>
      </c>
      <c r="T25" s="34">
        <f t="shared" si="12"/>
        <v>0</v>
      </c>
      <c r="U25" s="33" t="b">
        <f t="shared" si="13"/>
        <v>0</v>
      </c>
      <c r="V25" s="34">
        <f t="shared" si="14"/>
        <v>0</v>
      </c>
      <c r="W25" s="35">
        <f>IF(BC25="",1,VLOOKUP(BC25,data!$C$3:$D$10,2,FALSE))*(1+BD25)</f>
        <v>1</v>
      </c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38"/>
      <c r="BD25" s="44"/>
      <c r="BE25" s="44"/>
      <c r="BF25" s="43">
        <f t="shared" si="15"/>
        <v>0</v>
      </c>
      <c r="BG25" s="43">
        <f t="shared" si="16"/>
        <v>0</v>
      </c>
      <c r="BH25" s="43">
        <f t="shared" si="17"/>
        <v>0</v>
      </c>
      <c r="BI25" s="43">
        <f t="shared" si="18"/>
        <v>0</v>
      </c>
      <c r="BJ25" s="43">
        <f t="shared" si="19"/>
        <v>0</v>
      </c>
      <c r="BL25" s="45">
        <f t="shared" si="20"/>
        <v>0</v>
      </c>
      <c r="BM25" s="45">
        <f t="shared" si="21"/>
        <v>0</v>
      </c>
      <c r="BN25" s="45">
        <f t="shared" si="22"/>
        <v>0</v>
      </c>
      <c r="BO25" s="45">
        <f t="shared" si="23"/>
        <v>0</v>
      </c>
      <c r="BP25" s="45">
        <f t="shared" si="24"/>
        <v>0</v>
      </c>
      <c r="BQ25" s="45">
        <f t="shared" si="25"/>
        <v>0</v>
      </c>
    </row>
    <row r="26" spans="1:69" ht="12.75" customHeight="1">
      <c r="A26" s="38"/>
      <c r="B26" s="39"/>
      <c r="C26" s="40"/>
      <c r="D26" s="41"/>
      <c r="E26" s="42">
        <f t="shared" si="26"/>
      </c>
      <c r="F26" s="42">
        <f t="shared" si="27"/>
      </c>
      <c r="G26" s="132"/>
      <c r="H26" s="43">
        <f>SUMIF(time100,D26,data!$K$16:$K$21)</f>
        <v>0</v>
      </c>
      <c r="I26" s="89">
        <f t="shared" si="2"/>
        <v>0</v>
      </c>
      <c r="J26" s="249">
        <f t="shared" si="1"/>
        <v>0</v>
      </c>
      <c r="K26" s="33" t="b">
        <f t="shared" si="3"/>
        <v>0</v>
      </c>
      <c r="L26" s="34">
        <f t="shared" si="4"/>
        <v>0</v>
      </c>
      <c r="M26" s="33" t="b">
        <f t="shared" si="5"/>
        <v>0</v>
      </c>
      <c r="N26" s="34">
        <f t="shared" si="6"/>
        <v>0</v>
      </c>
      <c r="O26" s="33" t="b">
        <f t="shared" si="7"/>
        <v>0</v>
      </c>
      <c r="P26" s="34">
        <f t="shared" si="8"/>
        <v>0</v>
      </c>
      <c r="Q26" s="33" t="b">
        <f t="shared" si="9"/>
        <v>0</v>
      </c>
      <c r="R26" s="34">
        <f t="shared" si="10"/>
        <v>0</v>
      </c>
      <c r="S26" s="33" t="b">
        <f t="shared" si="11"/>
        <v>0</v>
      </c>
      <c r="T26" s="34">
        <f t="shared" si="12"/>
        <v>0</v>
      </c>
      <c r="U26" s="33" t="b">
        <f t="shared" si="13"/>
        <v>0</v>
      </c>
      <c r="V26" s="34">
        <f t="shared" si="14"/>
        <v>0</v>
      </c>
      <c r="W26" s="35">
        <f>IF(BC26="",1,VLOOKUP(BC26,data!$C$3:$D$10,2,FALSE))*(1+BD26)</f>
        <v>1</v>
      </c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38"/>
      <c r="BD26" s="44"/>
      <c r="BE26" s="44"/>
      <c r="BF26" s="43">
        <f t="shared" si="15"/>
        <v>0</v>
      </c>
      <c r="BG26" s="43">
        <f t="shared" si="16"/>
        <v>0</v>
      </c>
      <c r="BH26" s="43">
        <f t="shared" si="17"/>
        <v>0</v>
      </c>
      <c r="BI26" s="43">
        <f t="shared" si="18"/>
        <v>0</v>
      </c>
      <c r="BJ26" s="43">
        <f t="shared" si="19"/>
        <v>0</v>
      </c>
      <c r="BL26" s="45">
        <f t="shared" si="20"/>
        <v>0</v>
      </c>
      <c r="BM26" s="45">
        <f t="shared" si="21"/>
        <v>0</v>
      </c>
      <c r="BN26" s="45">
        <f t="shared" si="22"/>
        <v>0</v>
      </c>
      <c r="BO26" s="45">
        <f t="shared" si="23"/>
        <v>0</v>
      </c>
      <c r="BP26" s="45">
        <f t="shared" si="24"/>
        <v>0</v>
      </c>
      <c r="BQ26" s="45">
        <f t="shared" si="25"/>
        <v>0</v>
      </c>
    </row>
    <row r="27" spans="1:69" ht="12.75" customHeight="1">
      <c r="A27" s="38"/>
      <c r="B27" s="39"/>
      <c r="C27" s="40"/>
      <c r="D27" s="41"/>
      <c r="E27" s="42">
        <f t="shared" si="26"/>
      </c>
      <c r="F27" s="42">
        <f t="shared" si="27"/>
      </c>
      <c r="G27" s="132"/>
      <c r="H27" s="43">
        <f>SUMIF(time100,D27,data!$K$16:$K$21)</f>
        <v>0</v>
      </c>
      <c r="I27" s="89">
        <f t="shared" si="2"/>
        <v>0</v>
      </c>
      <c r="J27" s="249">
        <f t="shared" si="1"/>
        <v>0</v>
      </c>
      <c r="K27" s="33" t="b">
        <f t="shared" si="3"/>
        <v>0</v>
      </c>
      <c r="L27" s="34">
        <f t="shared" si="4"/>
        <v>0</v>
      </c>
      <c r="M27" s="33" t="b">
        <f t="shared" si="5"/>
        <v>0</v>
      </c>
      <c r="N27" s="34">
        <f t="shared" si="6"/>
        <v>0</v>
      </c>
      <c r="O27" s="33" t="b">
        <f t="shared" si="7"/>
        <v>0</v>
      </c>
      <c r="P27" s="34">
        <f t="shared" si="8"/>
        <v>0</v>
      </c>
      <c r="Q27" s="33" t="b">
        <f t="shared" si="9"/>
        <v>0</v>
      </c>
      <c r="R27" s="34">
        <f t="shared" si="10"/>
        <v>0</v>
      </c>
      <c r="S27" s="33" t="b">
        <f t="shared" si="11"/>
        <v>0</v>
      </c>
      <c r="T27" s="34">
        <f t="shared" si="12"/>
        <v>0</v>
      </c>
      <c r="U27" s="33" t="b">
        <f t="shared" si="13"/>
        <v>0</v>
      </c>
      <c r="V27" s="34">
        <f t="shared" si="14"/>
        <v>0</v>
      </c>
      <c r="W27" s="35">
        <f>IF(BC27="",1,VLOOKUP(BC27,data!$C$3:$D$10,2,FALSE))*(1+BD27)</f>
        <v>1</v>
      </c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38"/>
      <c r="BD27" s="44"/>
      <c r="BE27" s="44"/>
      <c r="BF27" s="43">
        <f t="shared" si="15"/>
        <v>0</v>
      </c>
      <c r="BG27" s="43">
        <f t="shared" si="16"/>
        <v>0</v>
      </c>
      <c r="BH27" s="43">
        <f t="shared" si="17"/>
        <v>0</v>
      </c>
      <c r="BI27" s="43">
        <f t="shared" si="18"/>
        <v>0</v>
      </c>
      <c r="BJ27" s="43">
        <f t="shared" si="19"/>
        <v>0</v>
      </c>
      <c r="BL27" s="45">
        <f t="shared" si="20"/>
        <v>0</v>
      </c>
      <c r="BM27" s="45">
        <f t="shared" si="21"/>
        <v>0</v>
      </c>
      <c r="BN27" s="45">
        <f t="shared" si="22"/>
        <v>0</v>
      </c>
      <c r="BO27" s="45">
        <f t="shared" si="23"/>
        <v>0</v>
      </c>
      <c r="BP27" s="45">
        <f t="shared" si="24"/>
        <v>0</v>
      </c>
      <c r="BQ27" s="45">
        <f t="shared" si="25"/>
        <v>0</v>
      </c>
    </row>
    <row r="28" spans="1:69" ht="12.75" customHeight="1">
      <c r="A28" s="38"/>
      <c r="B28" s="39"/>
      <c r="C28" s="40"/>
      <c r="D28" s="41"/>
      <c r="E28" s="42">
        <f t="shared" si="26"/>
      </c>
      <c r="F28" s="42">
        <f t="shared" si="27"/>
      </c>
      <c r="G28" s="132"/>
      <c r="H28" s="43">
        <f>SUMIF(time100,D28,data!$K$16:$K$21)</f>
        <v>0</v>
      </c>
      <c r="I28" s="89">
        <f t="shared" si="2"/>
        <v>0</v>
      </c>
      <c r="J28" s="249">
        <f t="shared" si="1"/>
        <v>0</v>
      </c>
      <c r="K28" s="33" t="b">
        <f t="shared" si="3"/>
        <v>0</v>
      </c>
      <c r="L28" s="34">
        <f t="shared" si="4"/>
        <v>0</v>
      </c>
      <c r="M28" s="33" t="b">
        <f t="shared" si="5"/>
        <v>0</v>
      </c>
      <c r="N28" s="34">
        <f t="shared" si="6"/>
        <v>0</v>
      </c>
      <c r="O28" s="33" t="b">
        <f t="shared" si="7"/>
        <v>0</v>
      </c>
      <c r="P28" s="34">
        <f t="shared" si="8"/>
        <v>0</v>
      </c>
      <c r="Q28" s="33" t="b">
        <f t="shared" si="9"/>
        <v>0</v>
      </c>
      <c r="R28" s="34">
        <f t="shared" si="10"/>
        <v>0</v>
      </c>
      <c r="S28" s="33" t="b">
        <f t="shared" si="11"/>
        <v>0</v>
      </c>
      <c r="T28" s="34">
        <f t="shared" si="12"/>
        <v>0</v>
      </c>
      <c r="U28" s="33" t="b">
        <f t="shared" si="13"/>
        <v>0</v>
      </c>
      <c r="V28" s="34">
        <f t="shared" si="14"/>
        <v>0</v>
      </c>
      <c r="W28" s="35">
        <f>IF(BC28="",1,VLOOKUP(BC28,data!$C$3:$D$10,2,FALSE))*(1+BD28)</f>
        <v>1</v>
      </c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38"/>
      <c r="BD28" s="44"/>
      <c r="BE28" s="44"/>
      <c r="BF28" s="43">
        <f t="shared" si="15"/>
        <v>0</v>
      </c>
      <c r="BG28" s="43">
        <f t="shared" si="16"/>
        <v>0</v>
      </c>
      <c r="BH28" s="43">
        <f t="shared" si="17"/>
        <v>0</v>
      </c>
      <c r="BI28" s="43">
        <f t="shared" si="18"/>
        <v>0</v>
      </c>
      <c r="BJ28" s="43">
        <f t="shared" si="19"/>
        <v>0</v>
      </c>
      <c r="BL28" s="45">
        <f t="shared" si="20"/>
        <v>0</v>
      </c>
      <c r="BM28" s="45">
        <f t="shared" si="21"/>
        <v>0</v>
      </c>
      <c r="BN28" s="45">
        <f t="shared" si="22"/>
        <v>0</v>
      </c>
      <c r="BO28" s="45">
        <f t="shared" si="23"/>
        <v>0</v>
      </c>
      <c r="BP28" s="45">
        <f t="shared" si="24"/>
        <v>0</v>
      </c>
      <c r="BQ28" s="45">
        <f t="shared" si="25"/>
        <v>0</v>
      </c>
    </row>
    <row r="29" spans="1:69" ht="12.75" customHeight="1">
      <c r="A29" s="38"/>
      <c r="B29" s="39"/>
      <c r="C29" s="40"/>
      <c r="D29" s="41"/>
      <c r="E29" s="42">
        <f t="shared" si="26"/>
      </c>
      <c r="F29" s="42">
        <f t="shared" si="27"/>
      </c>
      <c r="G29" s="132"/>
      <c r="H29" s="43">
        <f>SUMIF(time100,D29,data!$K$16:$K$21)</f>
        <v>0</v>
      </c>
      <c r="I29" s="89">
        <f t="shared" si="2"/>
        <v>0</v>
      </c>
      <c r="J29" s="249">
        <f t="shared" si="1"/>
        <v>0</v>
      </c>
      <c r="K29" s="33" t="b">
        <f t="shared" si="3"/>
        <v>0</v>
      </c>
      <c r="L29" s="34">
        <f t="shared" si="4"/>
        <v>0</v>
      </c>
      <c r="M29" s="33" t="b">
        <f t="shared" si="5"/>
        <v>0</v>
      </c>
      <c r="N29" s="34">
        <f t="shared" si="6"/>
        <v>0</v>
      </c>
      <c r="O29" s="33" t="b">
        <f t="shared" si="7"/>
        <v>0</v>
      </c>
      <c r="P29" s="34">
        <f t="shared" si="8"/>
        <v>0</v>
      </c>
      <c r="Q29" s="33" t="b">
        <f t="shared" si="9"/>
        <v>0</v>
      </c>
      <c r="R29" s="34">
        <f t="shared" si="10"/>
        <v>0</v>
      </c>
      <c r="S29" s="33" t="b">
        <f t="shared" si="11"/>
        <v>0</v>
      </c>
      <c r="T29" s="34">
        <f t="shared" si="12"/>
        <v>0</v>
      </c>
      <c r="U29" s="33" t="b">
        <f t="shared" si="13"/>
        <v>0</v>
      </c>
      <c r="V29" s="34">
        <f t="shared" si="14"/>
        <v>0</v>
      </c>
      <c r="W29" s="35">
        <f>IF(BC29="",1,VLOOKUP(BC29,data!$C$3:$D$10,2,FALSE))*(1+BD29)</f>
        <v>1</v>
      </c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38"/>
      <c r="BD29" s="44"/>
      <c r="BE29" s="44"/>
      <c r="BF29" s="43">
        <f t="shared" si="15"/>
        <v>0</v>
      </c>
      <c r="BG29" s="43">
        <f t="shared" si="16"/>
        <v>0</v>
      </c>
      <c r="BH29" s="43">
        <f t="shared" si="17"/>
        <v>0</v>
      </c>
      <c r="BI29" s="43">
        <f t="shared" si="18"/>
        <v>0</v>
      </c>
      <c r="BJ29" s="43">
        <f t="shared" si="19"/>
        <v>0</v>
      </c>
      <c r="BL29" s="45">
        <f t="shared" si="20"/>
        <v>0</v>
      </c>
      <c r="BM29" s="45">
        <f t="shared" si="21"/>
        <v>0</v>
      </c>
      <c r="BN29" s="45">
        <f t="shared" si="22"/>
        <v>0</v>
      </c>
      <c r="BO29" s="45">
        <f t="shared" si="23"/>
        <v>0</v>
      </c>
      <c r="BP29" s="45">
        <f t="shared" si="24"/>
        <v>0</v>
      </c>
      <c r="BQ29" s="45">
        <f t="shared" si="25"/>
        <v>0</v>
      </c>
    </row>
    <row r="30" spans="1:69" ht="12.75" customHeight="1">
      <c r="A30" s="38"/>
      <c r="B30" s="39"/>
      <c r="C30" s="40"/>
      <c r="D30" s="41"/>
      <c r="E30" s="42">
        <f t="shared" si="26"/>
      </c>
      <c r="F30" s="42">
        <f t="shared" si="27"/>
      </c>
      <c r="G30" s="132"/>
      <c r="H30" s="43">
        <f>SUMIF(time100,D30,data!$K$16:$K$21)</f>
        <v>0</v>
      </c>
      <c r="I30" s="89">
        <f t="shared" si="2"/>
        <v>0</v>
      </c>
      <c r="J30" s="249">
        <f t="shared" si="1"/>
        <v>0</v>
      </c>
      <c r="K30" s="33" t="b">
        <f t="shared" si="3"/>
        <v>0</v>
      </c>
      <c r="L30" s="34">
        <f t="shared" si="4"/>
        <v>0</v>
      </c>
      <c r="M30" s="33" t="b">
        <f t="shared" si="5"/>
        <v>0</v>
      </c>
      <c r="N30" s="34">
        <f t="shared" si="6"/>
        <v>0</v>
      </c>
      <c r="O30" s="33" t="b">
        <f t="shared" si="7"/>
        <v>0</v>
      </c>
      <c r="P30" s="34">
        <f t="shared" si="8"/>
        <v>0</v>
      </c>
      <c r="Q30" s="33" t="b">
        <f t="shared" si="9"/>
        <v>0</v>
      </c>
      <c r="R30" s="34">
        <f t="shared" si="10"/>
        <v>0</v>
      </c>
      <c r="S30" s="33" t="b">
        <f t="shared" si="11"/>
        <v>0</v>
      </c>
      <c r="T30" s="34">
        <f t="shared" si="12"/>
        <v>0</v>
      </c>
      <c r="U30" s="33" t="b">
        <f t="shared" si="13"/>
        <v>0</v>
      </c>
      <c r="V30" s="34">
        <f t="shared" si="14"/>
        <v>0</v>
      </c>
      <c r="W30" s="35">
        <f>IF(BC30="",1,VLOOKUP(BC30,data!$C$3:$D$10,2,FALSE))*(1+BD30)</f>
        <v>1</v>
      </c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38"/>
      <c r="BD30" s="44"/>
      <c r="BE30" s="44"/>
      <c r="BF30" s="43">
        <f t="shared" si="15"/>
        <v>0</v>
      </c>
      <c r="BG30" s="43">
        <f t="shared" si="16"/>
        <v>0</v>
      </c>
      <c r="BH30" s="43">
        <f t="shared" si="17"/>
        <v>0</v>
      </c>
      <c r="BI30" s="43">
        <f t="shared" si="18"/>
        <v>0</v>
      </c>
      <c r="BJ30" s="43">
        <f t="shared" si="19"/>
        <v>0</v>
      </c>
      <c r="BL30" s="45">
        <f t="shared" si="20"/>
        <v>0</v>
      </c>
      <c r="BM30" s="45">
        <f t="shared" si="21"/>
        <v>0</v>
      </c>
      <c r="BN30" s="45">
        <f t="shared" si="22"/>
        <v>0</v>
      </c>
      <c r="BO30" s="45">
        <f t="shared" si="23"/>
        <v>0</v>
      </c>
      <c r="BP30" s="45">
        <f t="shared" si="24"/>
        <v>0</v>
      </c>
      <c r="BQ30" s="45">
        <f t="shared" si="25"/>
        <v>0</v>
      </c>
    </row>
    <row r="31" spans="1:69" ht="12.75" customHeight="1">
      <c r="A31" s="38"/>
      <c r="B31" s="39"/>
      <c r="C31" s="40"/>
      <c r="D31" s="41"/>
      <c r="E31" s="42">
        <f t="shared" si="26"/>
      </c>
      <c r="F31" s="42">
        <f t="shared" si="27"/>
      </c>
      <c r="G31" s="132"/>
      <c r="H31" s="43">
        <f>SUMIF(time100,D31,data!$K$16:$K$21)</f>
        <v>0</v>
      </c>
      <c r="I31" s="89">
        <f t="shared" si="2"/>
        <v>0</v>
      </c>
      <c r="J31" s="249">
        <f t="shared" si="1"/>
        <v>0</v>
      </c>
      <c r="K31" s="33" t="b">
        <f t="shared" si="3"/>
        <v>0</v>
      </c>
      <c r="L31" s="34">
        <f t="shared" si="4"/>
        <v>0</v>
      </c>
      <c r="M31" s="33" t="b">
        <f t="shared" si="5"/>
        <v>0</v>
      </c>
      <c r="N31" s="34">
        <f t="shared" si="6"/>
        <v>0</v>
      </c>
      <c r="O31" s="33" t="b">
        <f t="shared" si="7"/>
        <v>0</v>
      </c>
      <c r="P31" s="34">
        <f t="shared" si="8"/>
        <v>0</v>
      </c>
      <c r="Q31" s="33" t="b">
        <f t="shared" si="9"/>
        <v>0</v>
      </c>
      <c r="R31" s="34">
        <f t="shared" si="10"/>
        <v>0</v>
      </c>
      <c r="S31" s="33" t="b">
        <f t="shared" si="11"/>
        <v>0</v>
      </c>
      <c r="T31" s="34">
        <f t="shared" si="12"/>
        <v>0</v>
      </c>
      <c r="U31" s="33" t="b">
        <f t="shared" si="13"/>
        <v>0</v>
      </c>
      <c r="V31" s="34">
        <f t="shared" si="14"/>
        <v>0</v>
      </c>
      <c r="W31" s="35">
        <f>IF(BC31="",1,VLOOKUP(BC31,data!$C$3:$D$10,2,FALSE))*(1+BD31)</f>
        <v>1</v>
      </c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38"/>
      <c r="BD31" s="44"/>
      <c r="BE31" s="44"/>
      <c r="BF31" s="43">
        <f t="shared" si="15"/>
        <v>0</v>
      </c>
      <c r="BG31" s="43">
        <f t="shared" si="16"/>
        <v>0</v>
      </c>
      <c r="BH31" s="43">
        <f t="shared" si="17"/>
        <v>0</v>
      </c>
      <c r="BI31" s="43">
        <f t="shared" si="18"/>
        <v>0</v>
      </c>
      <c r="BJ31" s="43">
        <f t="shared" si="19"/>
        <v>0</v>
      </c>
      <c r="BL31" s="45">
        <f t="shared" si="20"/>
        <v>0</v>
      </c>
      <c r="BM31" s="45">
        <f t="shared" si="21"/>
        <v>0</v>
      </c>
      <c r="BN31" s="45">
        <f t="shared" si="22"/>
        <v>0</v>
      </c>
      <c r="BO31" s="45">
        <f t="shared" si="23"/>
        <v>0</v>
      </c>
      <c r="BP31" s="45">
        <f t="shared" si="24"/>
        <v>0</v>
      </c>
      <c r="BQ31" s="45">
        <f t="shared" si="25"/>
        <v>0</v>
      </c>
    </row>
    <row r="32" spans="1:69" ht="12.75" customHeight="1">
      <c r="A32" s="38"/>
      <c r="B32" s="39"/>
      <c r="C32" s="40"/>
      <c r="D32" s="41"/>
      <c r="E32" s="42">
        <f t="shared" si="26"/>
      </c>
      <c r="F32" s="42">
        <f t="shared" si="27"/>
      </c>
      <c r="G32" s="132"/>
      <c r="H32" s="43">
        <f>SUMIF(time100,D32,data!$K$16:$K$21)</f>
        <v>0</v>
      </c>
      <c r="I32" s="89">
        <f t="shared" si="2"/>
        <v>0</v>
      </c>
      <c r="J32" s="249">
        <f t="shared" si="1"/>
        <v>0</v>
      </c>
      <c r="K32" s="33" t="b">
        <f t="shared" si="3"/>
        <v>0</v>
      </c>
      <c r="L32" s="34">
        <f t="shared" si="4"/>
        <v>0</v>
      </c>
      <c r="M32" s="33" t="b">
        <f t="shared" si="5"/>
        <v>0</v>
      </c>
      <c r="N32" s="34">
        <f t="shared" si="6"/>
        <v>0</v>
      </c>
      <c r="O32" s="33" t="b">
        <f t="shared" si="7"/>
        <v>0</v>
      </c>
      <c r="P32" s="34">
        <f t="shared" si="8"/>
        <v>0</v>
      </c>
      <c r="Q32" s="33" t="b">
        <f t="shared" si="9"/>
        <v>0</v>
      </c>
      <c r="R32" s="34">
        <f t="shared" si="10"/>
        <v>0</v>
      </c>
      <c r="S32" s="33" t="b">
        <f t="shared" si="11"/>
        <v>0</v>
      </c>
      <c r="T32" s="34">
        <f t="shared" si="12"/>
        <v>0</v>
      </c>
      <c r="U32" s="33" t="b">
        <f t="shared" si="13"/>
        <v>0</v>
      </c>
      <c r="V32" s="34">
        <f t="shared" si="14"/>
        <v>0</v>
      </c>
      <c r="W32" s="35">
        <f>IF(BC32="",1,VLOOKUP(BC32,data!$C$3:$D$10,2,FALSE))*(1+BD32)</f>
        <v>1</v>
      </c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38"/>
      <c r="BD32" s="44"/>
      <c r="BE32" s="44"/>
      <c r="BF32" s="43">
        <f t="shared" si="15"/>
        <v>0</v>
      </c>
      <c r="BG32" s="43">
        <f t="shared" si="16"/>
        <v>0</v>
      </c>
      <c r="BH32" s="43">
        <f t="shared" si="17"/>
        <v>0</v>
      </c>
      <c r="BI32" s="43">
        <f t="shared" si="18"/>
        <v>0</v>
      </c>
      <c r="BJ32" s="43">
        <f t="shared" si="19"/>
        <v>0</v>
      </c>
      <c r="BL32" s="45">
        <f t="shared" si="20"/>
        <v>0</v>
      </c>
      <c r="BM32" s="45">
        <f t="shared" si="21"/>
        <v>0</v>
      </c>
      <c r="BN32" s="45">
        <f t="shared" si="22"/>
        <v>0</v>
      </c>
      <c r="BO32" s="45">
        <f t="shared" si="23"/>
        <v>0</v>
      </c>
      <c r="BP32" s="45">
        <f t="shared" si="24"/>
        <v>0</v>
      </c>
      <c r="BQ32" s="45">
        <f t="shared" si="25"/>
        <v>0</v>
      </c>
    </row>
    <row r="33" spans="1:69" ht="12.75" customHeight="1">
      <c r="A33" s="38"/>
      <c r="B33" s="39"/>
      <c r="C33" s="40"/>
      <c r="D33" s="41"/>
      <c r="E33" s="42">
        <f t="shared" si="26"/>
      </c>
      <c r="F33" s="42">
        <f t="shared" si="27"/>
      </c>
      <c r="G33" s="132"/>
      <c r="H33" s="43">
        <f>SUMIF(time100,D33,data!$K$16:$K$21)</f>
        <v>0</v>
      </c>
      <c r="I33" s="89">
        <f t="shared" si="2"/>
        <v>0</v>
      </c>
      <c r="J33" s="249">
        <f t="shared" si="1"/>
        <v>0</v>
      </c>
      <c r="K33" s="33" t="b">
        <f t="shared" si="3"/>
        <v>0</v>
      </c>
      <c r="L33" s="34">
        <f t="shared" si="4"/>
        <v>0</v>
      </c>
      <c r="M33" s="33" t="b">
        <f t="shared" si="5"/>
        <v>0</v>
      </c>
      <c r="N33" s="34">
        <f t="shared" si="6"/>
        <v>0</v>
      </c>
      <c r="O33" s="33" t="b">
        <f t="shared" si="7"/>
        <v>0</v>
      </c>
      <c r="P33" s="34">
        <f t="shared" si="8"/>
        <v>0</v>
      </c>
      <c r="Q33" s="33" t="b">
        <f t="shared" si="9"/>
        <v>0</v>
      </c>
      <c r="R33" s="34">
        <f t="shared" si="10"/>
        <v>0</v>
      </c>
      <c r="S33" s="33" t="b">
        <f t="shared" si="11"/>
        <v>0</v>
      </c>
      <c r="T33" s="34">
        <f t="shared" si="12"/>
        <v>0</v>
      </c>
      <c r="U33" s="33" t="b">
        <f t="shared" si="13"/>
        <v>0</v>
      </c>
      <c r="V33" s="34">
        <f t="shared" si="14"/>
        <v>0</v>
      </c>
      <c r="W33" s="35">
        <f>IF(BC33="",1,VLOOKUP(BC33,data!$C$3:$D$10,2,FALSE))*(1+BD33)</f>
        <v>1</v>
      </c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38"/>
      <c r="BD33" s="44"/>
      <c r="BE33" s="44"/>
      <c r="BF33" s="43">
        <f t="shared" si="15"/>
        <v>0</v>
      </c>
      <c r="BG33" s="43">
        <f t="shared" si="16"/>
        <v>0</v>
      </c>
      <c r="BH33" s="43">
        <f t="shared" si="17"/>
        <v>0</v>
      </c>
      <c r="BI33" s="43">
        <f t="shared" si="18"/>
        <v>0</v>
      </c>
      <c r="BJ33" s="43">
        <f t="shared" si="19"/>
        <v>0</v>
      </c>
      <c r="BL33" s="45">
        <f t="shared" si="20"/>
        <v>0</v>
      </c>
      <c r="BM33" s="45">
        <f t="shared" si="21"/>
        <v>0</v>
      </c>
      <c r="BN33" s="45">
        <f t="shared" si="22"/>
        <v>0</v>
      </c>
      <c r="BO33" s="45">
        <f t="shared" si="23"/>
        <v>0</v>
      </c>
      <c r="BP33" s="45">
        <f t="shared" si="24"/>
        <v>0</v>
      </c>
      <c r="BQ33" s="45">
        <f t="shared" si="25"/>
        <v>0</v>
      </c>
    </row>
    <row r="34" spans="1:69" ht="12.75" customHeight="1">
      <c r="A34" s="38"/>
      <c r="B34" s="39"/>
      <c r="C34" s="40"/>
      <c r="D34" s="41"/>
      <c r="E34" s="42">
        <f t="shared" si="26"/>
      </c>
      <c r="F34" s="42">
        <f t="shared" si="27"/>
      </c>
      <c r="G34" s="132"/>
      <c r="H34" s="43">
        <f>SUMIF(time100,D34,data!$K$16:$K$21)</f>
        <v>0</v>
      </c>
      <c r="I34" s="89">
        <f t="shared" si="2"/>
        <v>0</v>
      </c>
      <c r="J34" s="249">
        <f t="shared" si="1"/>
        <v>0</v>
      </c>
      <c r="K34" s="33" t="b">
        <f t="shared" si="3"/>
        <v>0</v>
      </c>
      <c r="L34" s="34">
        <f t="shared" si="4"/>
        <v>0</v>
      </c>
      <c r="M34" s="33" t="b">
        <f t="shared" si="5"/>
        <v>0</v>
      </c>
      <c r="N34" s="34">
        <f t="shared" si="6"/>
        <v>0</v>
      </c>
      <c r="O34" s="33" t="b">
        <f t="shared" si="7"/>
        <v>0</v>
      </c>
      <c r="P34" s="34">
        <f t="shared" si="8"/>
        <v>0</v>
      </c>
      <c r="Q34" s="33" t="b">
        <f t="shared" si="9"/>
        <v>0</v>
      </c>
      <c r="R34" s="34">
        <f t="shared" si="10"/>
        <v>0</v>
      </c>
      <c r="S34" s="33" t="b">
        <f t="shared" si="11"/>
        <v>0</v>
      </c>
      <c r="T34" s="34">
        <f t="shared" si="12"/>
        <v>0</v>
      </c>
      <c r="U34" s="33" t="b">
        <f t="shared" si="13"/>
        <v>0</v>
      </c>
      <c r="V34" s="34">
        <f t="shared" si="14"/>
        <v>0</v>
      </c>
      <c r="W34" s="35">
        <f>IF(BC34="",1,VLOOKUP(BC34,data!$C$3:$D$10,2,FALSE))*(1+BD34)</f>
        <v>1</v>
      </c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38"/>
      <c r="BD34" s="44"/>
      <c r="BE34" s="44"/>
      <c r="BF34" s="43">
        <f t="shared" si="15"/>
        <v>0</v>
      </c>
      <c r="BG34" s="43">
        <f t="shared" si="16"/>
        <v>0</v>
      </c>
      <c r="BH34" s="43">
        <f t="shared" si="17"/>
        <v>0</v>
      </c>
      <c r="BI34" s="43">
        <f t="shared" si="18"/>
        <v>0</v>
      </c>
      <c r="BJ34" s="43">
        <f t="shared" si="19"/>
        <v>0</v>
      </c>
      <c r="BL34" s="45">
        <f t="shared" si="20"/>
        <v>0</v>
      </c>
      <c r="BM34" s="45">
        <f t="shared" si="21"/>
        <v>0</v>
      </c>
      <c r="BN34" s="45">
        <f t="shared" si="22"/>
        <v>0</v>
      </c>
      <c r="BO34" s="45">
        <f t="shared" si="23"/>
        <v>0</v>
      </c>
      <c r="BP34" s="45">
        <f t="shared" si="24"/>
        <v>0</v>
      </c>
      <c r="BQ34" s="45">
        <f t="shared" si="25"/>
        <v>0</v>
      </c>
    </row>
    <row r="35" spans="1:69" ht="12.75" customHeight="1">
      <c r="A35" s="38"/>
      <c r="B35" s="39"/>
      <c r="C35" s="40"/>
      <c r="D35" s="41"/>
      <c r="E35" s="42">
        <f t="shared" si="26"/>
      </c>
      <c r="F35" s="42">
        <f t="shared" si="27"/>
      </c>
      <c r="G35" s="132"/>
      <c r="H35" s="43">
        <f>SUMIF(time100,D35,data!$K$16:$K$21)</f>
        <v>0</v>
      </c>
      <c r="I35" s="89">
        <f t="shared" si="2"/>
        <v>0</v>
      </c>
      <c r="J35" s="249">
        <f t="shared" si="1"/>
        <v>0</v>
      </c>
      <c r="K35" s="33" t="b">
        <f t="shared" si="3"/>
        <v>0</v>
      </c>
      <c r="L35" s="34">
        <f t="shared" si="4"/>
        <v>0</v>
      </c>
      <c r="M35" s="33" t="b">
        <f t="shared" si="5"/>
        <v>0</v>
      </c>
      <c r="N35" s="34">
        <f t="shared" si="6"/>
        <v>0</v>
      </c>
      <c r="O35" s="33" t="b">
        <f t="shared" si="7"/>
        <v>0</v>
      </c>
      <c r="P35" s="34">
        <f t="shared" si="8"/>
        <v>0</v>
      </c>
      <c r="Q35" s="33" t="b">
        <f t="shared" si="9"/>
        <v>0</v>
      </c>
      <c r="R35" s="34">
        <f t="shared" si="10"/>
        <v>0</v>
      </c>
      <c r="S35" s="33" t="b">
        <f t="shared" si="11"/>
        <v>0</v>
      </c>
      <c r="T35" s="34">
        <f t="shared" si="12"/>
        <v>0</v>
      </c>
      <c r="U35" s="33" t="b">
        <f t="shared" si="13"/>
        <v>0</v>
      </c>
      <c r="V35" s="34">
        <f t="shared" si="14"/>
        <v>0</v>
      </c>
      <c r="W35" s="35">
        <f>IF(BC35="",1,VLOOKUP(BC35,data!$C$3:$D$10,2,FALSE))*(1+BD35)</f>
        <v>1</v>
      </c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38"/>
      <c r="BD35" s="44"/>
      <c r="BE35" s="44"/>
      <c r="BF35" s="43">
        <f t="shared" si="15"/>
        <v>0</v>
      </c>
      <c r="BG35" s="43">
        <f t="shared" si="16"/>
        <v>0</v>
      </c>
      <c r="BH35" s="43">
        <f t="shared" si="17"/>
        <v>0</v>
      </c>
      <c r="BI35" s="43">
        <f t="shared" si="18"/>
        <v>0</v>
      </c>
      <c r="BJ35" s="43">
        <f t="shared" si="19"/>
        <v>0</v>
      </c>
      <c r="BL35" s="45">
        <f t="shared" si="20"/>
        <v>0</v>
      </c>
      <c r="BM35" s="45">
        <f t="shared" si="21"/>
        <v>0</v>
      </c>
      <c r="BN35" s="45">
        <f t="shared" si="22"/>
        <v>0</v>
      </c>
      <c r="BO35" s="45">
        <f t="shared" si="23"/>
        <v>0</v>
      </c>
      <c r="BP35" s="45">
        <f t="shared" si="24"/>
        <v>0</v>
      </c>
      <c r="BQ35" s="45">
        <f t="shared" si="25"/>
        <v>0</v>
      </c>
    </row>
    <row r="36" spans="1:69" ht="12.75" customHeight="1">
      <c r="A36" s="38"/>
      <c r="B36" s="39"/>
      <c r="C36" s="40"/>
      <c r="D36" s="41"/>
      <c r="E36" s="42">
        <f t="shared" si="26"/>
      </c>
      <c r="F36" s="42">
        <f t="shared" si="27"/>
      </c>
      <c r="G36" s="132"/>
      <c r="H36" s="43">
        <f>SUMIF(time100,D36,data!$K$16:$K$21)</f>
        <v>0</v>
      </c>
      <c r="I36" s="89">
        <f t="shared" si="2"/>
        <v>0</v>
      </c>
      <c r="J36" s="249">
        <f t="shared" si="1"/>
        <v>0</v>
      </c>
      <c r="K36" s="33" t="b">
        <f t="shared" si="3"/>
        <v>0</v>
      </c>
      <c r="L36" s="34">
        <f t="shared" si="4"/>
        <v>0</v>
      </c>
      <c r="M36" s="33" t="b">
        <f t="shared" si="5"/>
        <v>0</v>
      </c>
      <c r="N36" s="34">
        <f t="shared" si="6"/>
        <v>0</v>
      </c>
      <c r="O36" s="33" t="b">
        <f t="shared" si="7"/>
        <v>0</v>
      </c>
      <c r="P36" s="34">
        <f t="shared" si="8"/>
        <v>0</v>
      </c>
      <c r="Q36" s="33" t="b">
        <f t="shared" si="9"/>
        <v>0</v>
      </c>
      <c r="R36" s="34">
        <f t="shared" si="10"/>
        <v>0</v>
      </c>
      <c r="S36" s="33" t="b">
        <f t="shared" si="11"/>
        <v>0</v>
      </c>
      <c r="T36" s="34">
        <f t="shared" si="12"/>
        <v>0</v>
      </c>
      <c r="U36" s="33" t="b">
        <f t="shared" si="13"/>
        <v>0</v>
      </c>
      <c r="V36" s="34">
        <f t="shared" si="14"/>
        <v>0</v>
      </c>
      <c r="W36" s="35">
        <f>IF(BC36="",1,VLOOKUP(BC36,data!$C$3:$D$10,2,FALSE))*(1+BD36)</f>
        <v>1</v>
      </c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38"/>
      <c r="BD36" s="44"/>
      <c r="BE36" s="44"/>
      <c r="BF36" s="43">
        <f t="shared" si="15"/>
        <v>0</v>
      </c>
      <c r="BG36" s="43">
        <f t="shared" si="16"/>
        <v>0</v>
      </c>
      <c r="BH36" s="43">
        <f t="shared" si="17"/>
        <v>0</v>
      </c>
      <c r="BI36" s="43">
        <f t="shared" si="18"/>
        <v>0</v>
      </c>
      <c r="BJ36" s="43">
        <f t="shared" si="19"/>
        <v>0</v>
      </c>
      <c r="BL36" s="45">
        <f t="shared" si="20"/>
        <v>0</v>
      </c>
      <c r="BM36" s="45">
        <f t="shared" si="21"/>
        <v>0</v>
      </c>
      <c r="BN36" s="45">
        <f t="shared" si="22"/>
        <v>0</v>
      </c>
      <c r="BO36" s="45">
        <f t="shared" si="23"/>
        <v>0</v>
      </c>
      <c r="BP36" s="45">
        <f t="shared" si="24"/>
        <v>0</v>
      </c>
      <c r="BQ36" s="45">
        <f t="shared" si="25"/>
        <v>0</v>
      </c>
    </row>
    <row r="37" spans="1:69" ht="12.75" customHeight="1">
      <c r="A37" s="38"/>
      <c r="B37" s="39"/>
      <c r="C37" s="40"/>
      <c r="D37" s="41"/>
      <c r="E37" s="42">
        <f t="shared" si="26"/>
      </c>
      <c r="F37" s="42">
        <f t="shared" si="27"/>
      </c>
      <c r="G37" s="132"/>
      <c r="H37" s="43">
        <f>SUMIF(time100,D37,data!$K$16:$K$21)</f>
        <v>0</v>
      </c>
      <c r="I37" s="89">
        <f t="shared" si="2"/>
        <v>0</v>
      </c>
      <c r="J37" s="249">
        <f t="shared" si="1"/>
        <v>0</v>
      </c>
      <c r="K37" s="33" t="b">
        <f t="shared" si="3"/>
        <v>0</v>
      </c>
      <c r="L37" s="34">
        <f t="shared" si="4"/>
        <v>0</v>
      </c>
      <c r="M37" s="33" t="b">
        <f t="shared" si="5"/>
        <v>0</v>
      </c>
      <c r="N37" s="34">
        <f t="shared" si="6"/>
        <v>0</v>
      </c>
      <c r="O37" s="33" t="b">
        <f t="shared" si="7"/>
        <v>0</v>
      </c>
      <c r="P37" s="34">
        <f t="shared" si="8"/>
        <v>0</v>
      </c>
      <c r="Q37" s="33" t="b">
        <f t="shared" si="9"/>
        <v>0</v>
      </c>
      <c r="R37" s="34">
        <f t="shared" si="10"/>
        <v>0</v>
      </c>
      <c r="S37" s="33" t="b">
        <f t="shared" si="11"/>
        <v>0</v>
      </c>
      <c r="T37" s="34">
        <f t="shared" si="12"/>
        <v>0</v>
      </c>
      <c r="U37" s="33" t="b">
        <f t="shared" si="13"/>
        <v>0</v>
      </c>
      <c r="V37" s="34">
        <f t="shared" si="14"/>
        <v>0</v>
      </c>
      <c r="W37" s="35">
        <f>IF(BC37="",1,VLOOKUP(BC37,data!$C$3:$D$10,2,FALSE))*(1+BD37)</f>
        <v>1</v>
      </c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38"/>
      <c r="BD37" s="44"/>
      <c r="BE37" s="44"/>
      <c r="BF37" s="43">
        <f t="shared" si="15"/>
        <v>0</v>
      </c>
      <c r="BG37" s="43">
        <f t="shared" si="16"/>
        <v>0</v>
      </c>
      <c r="BH37" s="43">
        <f t="shared" si="17"/>
        <v>0</v>
      </c>
      <c r="BI37" s="43">
        <f t="shared" si="18"/>
        <v>0</v>
      </c>
      <c r="BJ37" s="43">
        <f t="shared" si="19"/>
        <v>0</v>
      </c>
      <c r="BL37" s="45">
        <f t="shared" si="20"/>
        <v>0</v>
      </c>
      <c r="BM37" s="45">
        <f t="shared" si="21"/>
        <v>0</v>
      </c>
      <c r="BN37" s="45">
        <f t="shared" si="22"/>
        <v>0</v>
      </c>
      <c r="BO37" s="45">
        <f t="shared" si="23"/>
        <v>0</v>
      </c>
      <c r="BP37" s="45">
        <f t="shared" si="24"/>
        <v>0</v>
      </c>
      <c r="BQ37" s="45">
        <f t="shared" si="25"/>
        <v>0</v>
      </c>
    </row>
    <row r="38" spans="1:69" ht="12.75" customHeight="1">
      <c r="A38" s="38"/>
      <c r="B38" s="39"/>
      <c r="C38" s="40"/>
      <c r="D38" s="41"/>
      <c r="E38" s="42">
        <f t="shared" si="26"/>
      </c>
      <c r="F38" s="42">
        <f t="shared" si="27"/>
      </c>
      <c r="G38" s="132"/>
      <c r="H38" s="43">
        <f>SUMIF(time100,D38,data!$K$16:$K$21)</f>
        <v>0</v>
      </c>
      <c r="I38" s="89">
        <f t="shared" si="2"/>
        <v>0</v>
      </c>
      <c r="J38" s="249">
        <f t="shared" si="1"/>
        <v>0</v>
      </c>
      <c r="K38" s="33" t="b">
        <f t="shared" si="3"/>
        <v>0</v>
      </c>
      <c r="L38" s="34">
        <f t="shared" si="4"/>
        <v>0</v>
      </c>
      <c r="M38" s="33" t="b">
        <f t="shared" si="5"/>
        <v>0</v>
      </c>
      <c r="N38" s="34">
        <f t="shared" si="6"/>
        <v>0</v>
      </c>
      <c r="O38" s="33" t="b">
        <f t="shared" si="7"/>
        <v>0</v>
      </c>
      <c r="P38" s="34">
        <f t="shared" si="8"/>
        <v>0</v>
      </c>
      <c r="Q38" s="33" t="b">
        <f t="shared" si="9"/>
        <v>0</v>
      </c>
      <c r="R38" s="34">
        <f t="shared" si="10"/>
        <v>0</v>
      </c>
      <c r="S38" s="33" t="b">
        <f t="shared" si="11"/>
        <v>0</v>
      </c>
      <c r="T38" s="34">
        <f t="shared" si="12"/>
        <v>0</v>
      </c>
      <c r="U38" s="33" t="b">
        <f t="shared" si="13"/>
        <v>0</v>
      </c>
      <c r="V38" s="34">
        <f t="shared" si="14"/>
        <v>0</v>
      </c>
      <c r="W38" s="35">
        <f>IF(BC38="",1,VLOOKUP(BC38,data!$C$3:$D$10,2,FALSE))*(1+BD38)</f>
        <v>1</v>
      </c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38"/>
      <c r="BD38" s="44"/>
      <c r="BE38" s="44"/>
      <c r="BF38" s="43">
        <f t="shared" si="15"/>
        <v>0</v>
      </c>
      <c r="BG38" s="43">
        <f t="shared" si="16"/>
        <v>0</v>
      </c>
      <c r="BH38" s="43">
        <f t="shared" si="17"/>
        <v>0</v>
      </c>
      <c r="BI38" s="43">
        <f t="shared" si="18"/>
        <v>0</v>
      </c>
      <c r="BJ38" s="43">
        <f t="shared" si="19"/>
        <v>0</v>
      </c>
      <c r="BL38" s="45">
        <f t="shared" si="20"/>
        <v>0</v>
      </c>
      <c r="BM38" s="45">
        <f t="shared" si="21"/>
        <v>0</v>
      </c>
      <c r="BN38" s="45">
        <f t="shared" si="22"/>
        <v>0</v>
      </c>
      <c r="BO38" s="45">
        <f t="shared" si="23"/>
        <v>0</v>
      </c>
      <c r="BP38" s="45">
        <f t="shared" si="24"/>
        <v>0</v>
      </c>
      <c r="BQ38" s="45">
        <f t="shared" si="25"/>
        <v>0</v>
      </c>
    </row>
    <row r="39" spans="1:69" ht="12.75" customHeight="1">
      <c r="A39" s="38"/>
      <c r="B39" s="39"/>
      <c r="C39" s="40"/>
      <c r="D39" s="41"/>
      <c r="E39" s="42">
        <f t="shared" si="26"/>
      </c>
      <c r="F39" s="42">
        <f t="shared" si="27"/>
      </c>
      <c r="G39" s="132"/>
      <c r="H39" s="43">
        <f>SUMIF(time100,D39,data!$K$16:$K$21)</f>
        <v>0</v>
      </c>
      <c r="I39" s="89">
        <f t="shared" si="2"/>
        <v>0</v>
      </c>
      <c r="J39" s="249">
        <f t="shared" si="1"/>
        <v>0</v>
      </c>
      <c r="K39" s="33" t="b">
        <f t="shared" si="3"/>
        <v>0</v>
      </c>
      <c r="L39" s="34">
        <f t="shared" si="4"/>
        <v>0</v>
      </c>
      <c r="M39" s="33" t="b">
        <f t="shared" si="5"/>
        <v>0</v>
      </c>
      <c r="N39" s="34">
        <f t="shared" si="6"/>
        <v>0</v>
      </c>
      <c r="O39" s="33" t="b">
        <f t="shared" si="7"/>
        <v>0</v>
      </c>
      <c r="P39" s="34">
        <f t="shared" si="8"/>
        <v>0</v>
      </c>
      <c r="Q39" s="33" t="b">
        <f t="shared" si="9"/>
        <v>0</v>
      </c>
      <c r="R39" s="34">
        <f t="shared" si="10"/>
        <v>0</v>
      </c>
      <c r="S39" s="33" t="b">
        <f t="shared" si="11"/>
        <v>0</v>
      </c>
      <c r="T39" s="34">
        <f t="shared" si="12"/>
        <v>0</v>
      </c>
      <c r="U39" s="33" t="b">
        <f t="shared" si="13"/>
        <v>0</v>
      </c>
      <c r="V39" s="34">
        <f t="shared" si="14"/>
        <v>0</v>
      </c>
      <c r="W39" s="35">
        <f>IF(BC39="",1,VLOOKUP(BC39,data!$C$3:$D$10,2,FALSE))*(1+BD39)</f>
        <v>1</v>
      </c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38"/>
      <c r="BD39" s="44"/>
      <c r="BE39" s="44"/>
      <c r="BF39" s="43">
        <f t="shared" si="15"/>
        <v>0</v>
      </c>
      <c r="BG39" s="43">
        <f t="shared" si="16"/>
        <v>0</v>
      </c>
      <c r="BH39" s="43">
        <f t="shared" si="17"/>
        <v>0</v>
      </c>
      <c r="BI39" s="43">
        <f t="shared" si="18"/>
        <v>0</v>
      </c>
      <c r="BJ39" s="43">
        <f t="shared" si="19"/>
        <v>0</v>
      </c>
      <c r="BL39" s="45">
        <f t="shared" si="20"/>
        <v>0</v>
      </c>
      <c r="BM39" s="45">
        <f t="shared" si="21"/>
        <v>0</v>
      </c>
      <c r="BN39" s="45">
        <f t="shared" si="22"/>
        <v>0</v>
      </c>
      <c r="BO39" s="45">
        <f t="shared" si="23"/>
        <v>0</v>
      </c>
      <c r="BP39" s="45">
        <f t="shared" si="24"/>
        <v>0</v>
      </c>
      <c r="BQ39" s="45">
        <f t="shared" si="25"/>
        <v>0</v>
      </c>
    </row>
    <row r="40" spans="1:69" ht="12.75" customHeight="1">
      <c r="A40" s="38"/>
      <c r="B40" s="39"/>
      <c r="C40" s="40"/>
      <c r="D40" s="41"/>
      <c r="E40" s="42">
        <f t="shared" si="26"/>
      </c>
      <c r="F40" s="42">
        <f t="shared" si="27"/>
      </c>
      <c r="G40" s="132"/>
      <c r="H40" s="43">
        <f>SUMIF(time100,D40,data!$K$16:$K$21)</f>
        <v>0</v>
      </c>
      <c r="I40" s="89">
        <f t="shared" si="2"/>
        <v>0</v>
      </c>
      <c r="J40" s="249">
        <f t="shared" si="1"/>
        <v>0</v>
      </c>
      <c r="K40" s="33" t="b">
        <f t="shared" si="3"/>
        <v>0</v>
      </c>
      <c r="L40" s="34">
        <f t="shared" si="4"/>
        <v>0</v>
      </c>
      <c r="M40" s="33" t="b">
        <f t="shared" si="5"/>
        <v>0</v>
      </c>
      <c r="N40" s="34">
        <f t="shared" si="6"/>
        <v>0</v>
      </c>
      <c r="O40" s="33" t="b">
        <f t="shared" si="7"/>
        <v>0</v>
      </c>
      <c r="P40" s="34">
        <f t="shared" si="8"/>
        <v>0</v>
      </c>
      <c r="Q40" s="33" t="b">
        <f t="shared" si="9"/>
        <v>0</v>
      </c>
      <c r="R40" s="34">
        <f t="shared" si="10"/>
        <v>0</v>
      </c>
      <c r="S40" s="33" t="b">
        <f t="shared" si="11"/>
        <v>0</v>
      </c>
      <c r="T40" s="34">
        <f t="shared" si="12"/>
        <v>0</v>
      </c>
      <c r="U40" s="33" t="b">
        <f t="shared" si="13"/>
        <v>0</v>
      </c>
      <c r="V40" s="34">
        <f t="shared" si="14"/>
        <v>0</v>
      </c>
      <c r="W40" s="35">
        <f>IF(BC40="",1,VLOOKUP(BC40,data!$C$3:$D$10,2,FALSE))*(1+BD40)</f>
        <v>1</v>
      </c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38"/>
      <c r="BD40" s="44"/>
      <c r="BE40" s="44"/>
      <c r="BF40" s="43">
        <f t="shared" si="15"/>
        <v>0</v>
      </c>
      <c r="BG40" s="43">
        <f t="shared" si="16"/>
        <v>0</v>
      </c>
      <c r="BH40" s="43">
        <f t="shared" si="17"/>
        <v>0</v>
      </c>
      <c r="BI40" s="43">
        <f t="shared" si="18"/>
        <v>0</v>
      </c>
      <c r="BJ40" s="43">
        <f t="shared" si="19"/>
        <v>0</v>
      </c>
      <c r="BL40" s="45">
        <f t="shared" si="20"/>
        <v>0</v>
      </c>
      <c r="BM40" s="45">
        <f t="shared" si="21"/>
        <v>0</v>
      </c>
      <c r="BN40" s="45">
        <f t="shared" si="22"/>
        <v>0</v>
      </c>
      <c r="BO40" s="45">
        <f t="shared" si="23"/>
        <v>0</v>
      </c>
      <c r="BP40" s="45">
        <f t="shared" si="24"/>
        <v>0</v>
      </c>
      <c r="BQ40" s="45">
        <f t="shared" si="25"/>
        <v>0</v>
      </c>
    </row>
    <row r="41" spans="1:69" ht="12.75" customHeight="1">
      <c r="A41" s="38"/>
      <c r="B41" s="39"/>
      <c r="C41" s="40"/>
      <c r="D41" s="41"/>
      <c r="E41" s="42">
        <f t="shared" si="26"/>
      </c>
      <c r="F41" s="42">
        <f t="shared" si="27"/>
      </c>
      <c r="G41" s="132"/>
      <c r="H41" s="43">
        <f>SUMIF(time100,D41,data!$K$16:$K$21)</f>
        <v>0</v>
      </c>
      <c r="I41" s="89">
        <f t="shared" si="2"/>
        <v>0</v>
      </c>
      <c r="J41" s="249">
        <f t="shared" si="1"/>
        <v>0</v>
      </c>
      <c r="K41" s="33" t="b">
        <f t="shared" si="3"/>
        <v>0</v>
      </c>
      <c r="L41" s="34">
        <f t="shared" si="4"/>
        <v>0</v>
      </c>
      <c r="M41" s="33" t="b">
        <f t="shared" si="5"/>
        <v>0</v>
      </c>
      <c r="N41" s="34">
        <f t="shared" si="6"/>
        <v>0</v>
      </c>
      <c r="O41" s="33" t="b">
        <f t="shared" si="7"/>
        <v>0</v>
      </c>
      <c r="P41" s="34">
        <f t="shared" si="8"/>
        <v>0</v>
      </c>
      <c r="Q41" s="33" t="b">
        <f t="shared" si="9"/>
        <v>0</v>
      </c>
      <c r="R41" s="34">
        <f t="shared" si="10"/>
        <v>0</v>
      </c>
      <c r="S41" s="33" t="b">
        <f t="shared" si="11"/>
        <v>0</v>
      </c>
      <c r="T41" s="34">
        <f t="shared" si="12"/>
        <v>0</v>
      </c>
      <c r="U41" s="33" t="b">
        <f t="shared" si="13"/>
        <v>0</v>
      </c>
      <c r="V41" s="34">
        <f t="shared" si="14"/>
        <v>0</v>
      </c>
      <c r="W41" s="35">
        <f>IF(BC41="",1,VLOOKUP(BC41,data!$C$3:$D$10,2,FALSE))*(1+BD41)</f>
        <v>1</v>
      </c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38"/>
      <c r="BD41" s="44"/>
      <c r="BE41" s="44"/>
      <c r="BF41" s="43">
        <f t="shared" si="15"/>
        <v>0</v>
      </c>
      <c r="BG41" s="43">
        <f t="shared" si="16"/>
        <v>0</v>
      </c>
      <c r="BH41" s="43">
        <f t="shared" si="17"/>
        <v>0</v>
      </c>
      <c r="BI41" s="43">
        <f t="shared" si="18"/>
        <v>0</v>
      </c>
      <c r="BJ41" s="43">
        <f t="shared" si="19"/>
        <v>0</v>
      </c>
      <c r="BL41" s="45">
        <f t="shared" si="20"/>
        <v>0</v>
      </c>
      <c r="BM41" s="45">
        <f t="shared" si="21"/>
        <v>0</v>
      </c>
      <c r="BN41" s="45">
        <f t="shared" si="22"/>
        <v>0</v>
      </c>
      <c r="BO41" s="45">
        <f t="shared" si="23"/>
        <v>0</v>
      </c>
      <c r="BP41" s="45">
        <f t="shared" si="24"/>
        <v>0</v>
      </c>
      <c r="BQ41" s="45">
        <f t="shared" si="25"/>
        <v>0</v>
      </c>
    </row>
    <row r="42" spans="1:69" ht="12.75" customHeight="1">
      <c r="A42" s="38"/>
      <c r="B42" s="39"/>
      <c r="C42" s="40"/>
      <c r="D42" s="41"/>
      <c r="E42" s="42">
        <f t="shared" si="26"/>
      </c>
      <c r="F42" s="42">
        <f t="shared" si="27"/>
      </c>
      <c r="G42" s="132"/>
      <c r="H42" s="43">
        <f>SUMIF(time100,D42,data!$K$16:$K$21)</f>
        <v>0</v>
      </c>
      <c r="I42" s="89">
        <f t="shared" si="2"/>
        <v>0</v>
      </c>
      <c r="J42" s="249">
        <f t="shared" si="1"/>
        <v>0</v>
      </c>
      <c r="K42" s="33" t="b">
        <f t="shared" si="3"/>
        <v>0</v>
      </c>
      <c r="L42" s="34">
        <f t="shared" si="4"/>
        <v>0</v>
      </c>
      <c r="M42" s="33" t="b">
        <f t="shared" si="5"/>
        <v>0</v>
      </c>
      <c r="N42" s="34">
        <f t="shared" si="6"/>
        <v>0</v>
      </c>
      <c r="O42" s="33" t="b">
        <f t="shared" si="7"/>
        <v>0</v>
      </c>
      <c r="P42" s="34">
        <f t="shared" si="8"/>
        <v>0</v>
      </c>
      <c r="Q42" s="33" t="b">
        <f t="shared" si="9"/>
        <v>0</v>
      </c>
      <c r="R42" s="34">
        <f t="shared" si="10"/>
        <v>0</v>
      </c>
      <c r="S42" s="33" t="b">
        <f t="shared" si="11"/>
        <v>0</v>
      </c>
      <c r="T42" s="34">
        <f t="shared" si="12"/>
        <v>0</v>
      </c>
      <c r="U42" s="33" t="b">
        <f t="shared" si="13"/>
        <v>0</v>
      </c>
      <c r="V42" s="34">
        <f t="shared" si="14"/>
        <v>0</v>
      </c>
      <c r="W42" s="35">
        <f>IF(BC42="",1,VLOOKUP(BC42,data!$C$3:$D$10,2,FALSE))*(1+BD42)</f>
        <v>1</v>
      </c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66"/>
      <c r="AK42" s="66"/>
      <c r="AL42" s="66"/>
      <c r="AM42" s="66"/>
      <c r="AN42" s="66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66"/>
      <c r="BB42" s="66"/>
      <c r="BC42" s="38"/>
      <c r="BD42" s="44"/>
      <c r="BE42" s="44"/>
      <c r="BF42" s="43">
        <f t="shared" si="15"/>
        <v>0</v>
      </c>
      <c r="BG42" s="43">
        <f t="shared" si="16"/>
        <v>0</v>
      </c>
      <c r="BH42" s="43">
        <f t="shared" si="17"/>
        <v>0</v>
      </c>
      <c r="BI42" s="43">
        <f t="shared" si="18"/>
        <v>0</v>
      </c>
      <c r="BJ42" s="43">
        <f t="shared" si="19"/>
        <v>0</v>
      </c>
      <c r="BL42" s="45">
        <f t="shared" si="20"/>
        <v>0</v>
      </c>
      <c r="BM42" s="45">
        <f t="shared" si="21"/>
        <v>0</v>
      </c>
      <c r="BN42" s="45">
        <f t="shared" si="22"/>
        <v>0</v>
      </c>
      <c r="BO42" s="45">
        <f t="shared" si="23"/>
        <v>0</v>
      </c>
      <c r="BP42" s="45">
        <f t="shared" si="24"/>
        <v>0</v>
      </c>
      <c r="BQ42" s="45">
        <f t="shared" si="25"/>
        <v>0</v>
      </c>
    </row>
    <row r="43" spans="1:62" ht="12" customHeight="1">
      <c r="A43" s="46"/>
      <c r="B43" s="47"/>
      <c r="C43" s="47"/>
      <c r="D43" s="48"/>
      <c r="E43" s="48"/>
      <c r="F43" s="48"/>
      <c r="G43" s="49"/>
      <c r="H43" s="160" t="str">
        <f>IF($B$2="BG","Тотал:","Total:")</f>
        <v>Тотал:</v>
      </c>
      <c r="I43" s="160">
        <f>SUM(I13:I42)</f>
        <v>0</v>
      </c>
      <c r="J43" s="172">
        <f>SUM(J13:J42)</f>
        <v>0</v>
      </c>
      <c r="K43" s="155"/>
      <c r="L43" s="155">
        <f>SUM(L13:L42)</f>
        <v>0</v>
      </c>
      <c r="M43" s="155"/>
      <c r="N43" s="155">
        <f>SUM(N13:N42)</f>
        <v>0</v>
      </c>
      <c r="O43" s="155"/>
      <c r="P43" s="155">
        <f>SUM(P13:P42)</f>
        <v>0</v>
      </c>
      <c r="Q43" s="155"/>
      <c r="R43" s="155">
        <f>SUM(R13:R42)</f>
        <v>0</v>
      </c>
      <c r="S43" s="155"/>
      <c r="T43" s="155">
        <f>SUM(T13:T42)</f>
        <v>0</v>
      </c>
      <c r="U43" s="155"/>
      <c r="V43" s="155">
        <f>SUM(V13:V42)</f>
        <v>0</v>
      </c>
      <c r="W43" s="156"/>
      <c r="X43" s="157">
        <f>COUNTA(X13:X42)</f>
        <v>0</v>
      </c>
      <c r="Y43" s="157">
        <f aca="true" t="shared" si="28" ref="Y43:BB43">COUNTA(Y13:Y42)</f>
        <v>0</v>
      </c>
      <c r="Z43" s="157">
        <f t="shared" si="28"/>
        <v>0</v>
      </c>
      <c r="AA43" s="157">
        <f t="shared" si="28"/>
        <v>0</v>
      </c>
      <c r="AB43" s="157">
        <f t="shared" si="28"/>
        <v>0</v>
      </c>
      <c r="AC43" s="157">
        <f t="shared" si="28"/>
        <v>0</v>
      </c>
      <c r="AD43" s="157">
        <f>COUNTA(AD13:AD42)</f>
        <v>0</v>
      </c>
      <c r="AE43" s="157">
        <f>COUNTA(AE13:AE42)</f>
        <v>0</v>
      </c>
      <c r="AF43" s="157">
        <f t="shared" si="28"/>
        <v>0</v>
      </c>
      <c r="AG43" s="157">
        <f t="shared" si="28"/>
        <v>0</v>
      </c>
      <c r="AH43" s="157">
        <f>COUNTA(AH13:AH42)</f>
        <v>0</v>
      </c>
      <c r="AI43" s="157">
        <f>COUNTA(AI13:AI42)</f>
        <v>0</v>
      </c>
      <c r="AJ43" s="157">
        <f t="shared" si="28"/>
        <v>0</v>
      </c>
      <c r="AK43" s="157">
        <f t="shared" si="28"/>
        <v>0</v>
      </c>
      <c r="AL43" s="157">
        <f t="shared" si="28"/>
        <v>0</v>
      </c>
      <c r="AM43" s="157">
        <f t="shared" si="28"/>
        <v>0</v>
      </c>
      <c r="AN43" s="157">
        <f t="shared" si="28"/>
        <v>0</v>
      </c>
      <c r="AO43" s="157">
        <f t="shared" si="28"/>
        <v>0</v>
      </c>
      <c r="AP43" s="157">
        <f t="shared" si="28"/>
        <v>0</v>
      </c>
      <c r="AQ43" s="157">
        <f t="shared" si="28"/>
        <v>0</v>
      </c>
      <c r="AR43" s="157">
        <f t="shared" si="28"/>
        <v>0</v>
      </c>
      <c r="AS43" s="157">
        <f t="shared" si="28"/>
        <v>0</v>
      </c>
      <c r="AT43" s="157">
        <f t="shared" si="28"/>
        <v>0</v>
      </c>
      <c r="AU43" s="157">
        <f t="shared" si="28"/>
        <v>0</v>
      </c>
      <c r="AV43" s="157">
        <f t="shared" si="28"/>
        <v>0</v>
      </c>
      <c r="AW43" s="157">
        <f t="shared" si="28"/>
        <v>0</v>
      </c>
      <c r="AX43" s="157">
        <f t="shared" si="28"/>
        <v>0</v>
      </c>
      <c r="AY43" s="157">
        <f t="shared" si="28"/>
        <v>0</v>
      </c>
      <c r="AZ43" s="157">
        <f t="shared" si="28"/>
        <v>0</v>
      </c>
      <c r="BA43" s="157">
        <f t="shared" si="28"/>
        <v>0</v>
      </c>
      <c r="BB43" s="157">
        <f t="shared" si="28"/>
        <v>0</v>
      </c>
      <c r="BC43" s="158"/>
      <c r="BD43" s="47"/>
      <c r="BE43" s="50"/>
      <c r="BF43" s="50"/>
      <c r="BG43" s="160">
        <f>SUM(BG13:BG42)</f>
        <v>0</v>
      </c>
      <c r="BH43" s="160">
        <f>SUM(BH13:BH42)</f>
        <v>0</v>
      </c>
      <c r="BI43" s="160">
        <f>SUM(BI13:BI42)</f>
        <v>0</v>
      </c>
      <c r="BJ43" s="160">
        <f>SUM(BJ13:BJ42)</f>
        <v>0</v>
      </c>
    </row>
    <row r="44" spans="1:190" s="81" customFormat="1" ht="10.5" customHeight="1">
      <c r="A44" s="31"/>
      <c r="B44" s="31"/>
      <c r="C44" s="31"/>
      <c r="D44" s="31"/>
      <c r="E44" s="31"/>
      <c r="F44" s="31"/>
      <c r="G44" s="31"/>
      <c r="H44" s="306" t="str">
        <f>IF($B$2="BG","Бюджет по седмици","Budget per week")</f>
        <v>Бюджет по седмици</v>
      </c>
      <c r="I44" s="307"/>
      <c r="J44" s="307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79"/>
      <c r="X44" s="316">
        <f>SUM(BL13:BL42)</f>
        <v>0</v>
      </c>
      <c r="Y44" s="317"/>
      <c r="Z44" s="318"/>
      <c r="AA44" s="316">
        <f>SUM(BM13:BM42)</f>
        <v>0</v>
      </c>
      <c r="AB44" s="317"/>
      <c r="AC44" s="317"/>
      <c r="AD44" s="317"/>
      <c r="AE44" s="317"/>
      <c r="AF44" s="317"/>
      <c r="AG44" s="318"/>
      <c r="AH44" s="316">
        <f>SUM(BN13:BN42)</f>
        <v>0</v>
      </c>
      <c r="AI44" s="317"/>
      <c r="AJ44" s="317"/>
      <c r="AK44" s="317"/>
      <c r="AL44" s="317"/>
      <c r="AM44" s="317"/>
      <c r="AN44" s="318"/>
      <c r="AO44" s="316">
        <f>SUM(BO13:BO42)</f>
        <v>0</v>
      </c>
      <c r="AP44" s="317"/>
      <c r="AQ44" s="317"/>
      <c r="AR44" s="317"/>
      <c r="AS44" s="317"/>
      <c r="AT44" s="317"/>
      <c r="AU44" s="318"/>
      <c r="AV44" s="316">
        <f>SUM(BP13:BP42)</f>
        <v>0</v>
      </c>
      <c r="AW44" s="317"/>
      <c r="AX44" s="317"/>
      <c r="AY44" s="317"/>
      <c r="AZ44" s="317"/>
      <c r="BA44" s="317"/>
      <c r="BB44" s="318"/>
      <c r="BC44" s="159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1"/>
      <c r="CI44" s="31"/>
      <c r="CJ44" s="31"/>
      <c r="CK44" s="31"/>
      <c r="CL44" s="31"/>
      <c r="CM44" s="31"/>
      <c r="CN44" s="31"/>
      <c r="CO44" s="31"/>
      <c r="CP44" s="31"/>
      <c r="CQ44" s="31"/>
      <c r="CR44" s="31"/>
      <c r="CS44" s="31"/>
      <c r="CT44" s="31"/>
      <c r="CU44" s="31"/>
      <c r="CV44" s="31"/>
      <c r="CW44" s="31"/>
      <c r="CX44" s="31"/>
      <c r="CY44" s="31"/>
      <c r="CZ44" s="31"/>
      <c r="DA44" s="31"/>
      <c r="DB44" s="31"/>
      <c r="DC44" s="31"/>
      <c r="DD44" s="31"/>
      <c r="DE44" s="31"/>
      <c r="DF44" s="31"/>
      <c r="DG44" s="31"/>
      <c r="DH44" s="31"/>
      <c r="DI44" s="31"/>
      <c r="DJ44" s="31"/>
      <c r="DK44" s="31"/>
      <c r="DL44" s="31"/>
      <c r="DM44" s="31"/>
      <c r="DN44" s="31"/>
      <c r="DO44" s="31"/>
      <c r="DP44" s="31"/>
      <c r="DQ44" s="31"/>
      <c r="DR44" s="31"/>
      <c r="DS44" s="31"/>
      <c r="DT44" s="31"/>
      <c r="DU44" s="31"/>
      <c r="DV44" s="31"/>
      <c r="DW44" s="31"/>
      <c r="DX44" s="31"/>
      <c r="DY44" s="31"/>
      <c r="DZ44" s="31"/>
      <c r="EA44" s="31"/>
      <c r="EB44" s="31"/>
      <c r="EC44" s="31"/>
      <c r="ED44" s="31"/>
      <c r="EE44" s="31"/>
      <c r="EF44" s="31"/>
      <c r="EG44" s="31"/>
      <c r="EH44" s="31"/>
      <c r="EI44" s="31"/>
      <c r="EJ44" s="31"/>
      <c r="EK44" s="31"/>
      <c r="EL44" s="31"/>
      <c r="EM44" s="31"/>
      <c r="EN44" s="31"/>
      <c r="EO44" s="31"/>
      <c r="EP44" s="31"/>
      <c r="EQ44" s="31"/>
      <c r="ER44" s="31"/>
      <c r="ES44" s="31"/>
      <c r="ET44" s="31"/>
      <c r="EU44" s="31"/>
      <c r="EV44" s="31"/>
      <c r="EW44" s="31"/>
      <c r="EX44" s="31"/>
      <c r="EY44" s="31"/>
      <c r="EZ44" s="31"/>
      <c r="FA44" s="31"/>
      <c r="FB44" s="31"/>
      <c r="FC44" s="31"/>
      <c r="FD44" s="31"/>
      <c r="FE44" s="31"/>
      <c r="FF44" s="31"/>
      <c r="FG44" s="31"/>
      <c r="FH44" s="31"/>
      <c r="FI44" s="31"/>
      <c r="FJ44" s="31"/>
      <c r="FK44" s="31"/>
      <c r="FL44" s="31"/>
      <c r="FM44" s="31"/>
      <c r="FN44" s="31"/>
      <c r="FO44" s="31"/>
      <c r="FP44" s="31"/>
      <c r="FQ44" s="31"/>
      <c r="FR44" s="31"/>
      <c r="FS44" s="31"/>
      <c r="FT44" s="31"/>
      <c r="FU44" s="31"/>
      <c r="FV44" s="31"/>
      <c r="FW44" s="31"/>
      <c r="FX44" s="31"/>
      <c r="FY44" s="31"/>
      <c r="FZ44" s="31"/>
      <c r="GA44" s="31"/>
      <c r="GB44" s="31"/>
      <c r="GC44" s="31"/>
      <c r="GD44" s="31"/>
      <c r="GE44" s="31"/>
      <c r="GF44" s="31"/>
      <c r="GG44" s="31"/>
      <c r="GH44" s="31"/>
    </row>
    <row r="45" spans="1:190" s="81" customFormat="1" ht="10.5" customHeight="1">
      <c r="A45" s="31"/>
      <c r="B45" s="31"/>
      <c r="C45" s="31"/>
      <c r="D45" s="31"/>
      <c r="E45" s="31"/>
      <c r="F45" s="31"/>
      <c r="G45" s="31"/>
      <c r="H45" s="306" t="str">
        <f>IF($B$2="BG","Брой излъчвания по седмици","Number per week")</f>
        <v>Брой излъчвания по седмици</v>
      </c>
      <c r="I45" s="307"/>
      <c r="J45" s="307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79"/>
      <c r="X45" s="316">
        <f>SUM(X43:Z43)</f>
        <v>0</v>
      </c>
      <c r="Y45" s="317"/>
      <c r="Z45" s="318"/>
      <c r="AA45" s="316">
        <f>SUM(AA43:AG43,)</f>
        <v>0</v>
      </c>
      <c r="AB45" s="317"/>
      <c r="AC45" s="317"/>
      <c r="AD45" s="317"/>
      <c r="AE45" s="317"/>
      <c r="AF45" s="317"/>
      <c r="AG45" s="318"/>
      <c r="AH45" s="316">
        <f>SUM(AH43:AN43)</f>
        <v>0</v>
      </c>
      <c r="AI45" s="317"/>
      <c r="AJ45" s="317"/>
      <c r="AK45" s="317"/>
      <c r="AL45" s="317"/>
      <c r="AM45" s="317"/>
      <c r="AN45" s="318"/>
      <c r="AO45" s="316">
        <f>SUM(AO43:AU43)</f>
        <v>0</v>
      </c>
      <c r="AP45" s="317"/>
      <c r="AQ45" s="317"/>
      <c r="AR45" s="317"/>
      <c r="AS45" s="317"/>
      <c r="AT45" s="317"/>
      <c r="AU45" s="318"/>
      <c r="AV45" s="316">
        <f>SUM(AV43:BB43)</f>
        <v>0</v>
      </c>
      <c r="AW45" s="317"/>
      <c r="AX45" s="317"/>
      <c r="AY45" s="317"/>
      <c r="AZ45" s="317"/>
      <c r="BA45" s="317"/>
      <c r="BB45" s="318"/>
      <c r="BC45" s="159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/>
      <c r="CG45" s="31"/>
      <c r="CH45" s="31"/>
      <c r="CI45" s="31"/>
      <c r="CJ45" s="31"/>
      <c r="CK45" s="31"/>
      <c r="CL45" s="31"/>
      <c r="CM45" s="31"/>
      <c r="CN45" s="31"/>
      <c r="CO45" s="31"/>
      <c r="CP45" s="31"/>
      <c r="CQ45" s="31"/>
      <c r="CR45" s="31"/>
      <c r="CS45" s="31"/>
      <c r="CT45" s="31"/>
      <c r="CU45" s="31"/>
      <c r="CV45" s="31"/>
      <c r="CW45" s="31"/>
      <c r="CX45" s="31"/>
      <c r="CY45" s="31"/>
      <c r="CZ45" s="31"/>
      <c r="DA45" s="31"/>
      <c r="DB45" s="31"/>
      <c r="DC45" s="31"/>
      <c r="DD45" s="31"/>
      <c r="DE45" s="31"/>
      <c r="DF45" s="31"/>
      <c r="DG45" s="31"/>
      <c r="DH45" s="31"/>
      <c r="DI45" s="31"/>
      <c r="DJ45" s="31"/>
      <c r="DK45" s="31"/>
      <c r="DL45" s="31"/>
      <c r="DM45" s="31"/>
      <c r="DN45" s="31"/>
      <c r="DO45" s="31"/>
      <c r="DP45" s="31"/>
      <c r="DQ45" s="31"/>
      <c r="DR45" s="31"/>
      <c r="DS45" s="31"/>
      <c r="DT45" s="31"/>
      <c r="DU45" s="31"/>
      <c r="DV45" s="31"/>
      <c r="DW45" s="31"/>
      <c r="DX45" s="31"/>
      <c r="DY45" s="31"/>
      <c r="DZ45" s="31"/>
      <c r="EA45" s="31"/>
      <c r="EB45" s="31"/>
      <c r="EC45" s="31"/>
      <c r="ED45" s="31"/>
      <c r="EE45" s="31"/>
      <c r="EF45" s="31"/>
      <c r="EG45" s="31"/>
      <c r="EH45" s="31"/>
      <c r="EI45" s="31"/>
      <c r="EJ45" s="31"/>
      <c r="EK45" s="31"/>
      <c r="EL45" s="31"/>
      <c r="EM45" s="31"/>
      <c r="EN45" s="31"/>
      <c r="EO45" s="31"/>
      <c r="EP45" s="31"/>
      <c r="EQ45" s="31"/>
      <c r="ER45" s="31"/>
      <c r="ES45" s="31"/>
      <c r="ET45" s="31"/>
      <c r="EU45" s="31"/>
      <c r="EV45" s="31"/>
      <c r="EW45" s="31"/>
      <c r="EX45" s="31"/>
      <c r="EY45" s="31"/>
      <c r="EZ45" s="31"/>
      <c r="FA45" s="31"/>
      <c r="FB45" s="31"/>
      <c r="FC45" s="31"/>
      <c r="FD45" s="31"/>
      <c r="FE45" s="31"/>
      <c r="FF45" s="31"/>
      <c r="FG45" s="31"/>
      <c r="FH45" s="31"/>
      <c r="FI45" s="31"/>
      <c r="FJ45" s="31"/>
      <c r="FK45" s="31"/>
      <c r="FL45" s="31"/>
      <c r="FM45" s="31"/>
      <c r="FN45" s="31"/>
      <c r="FO45" s="31"/>
      <c r="FP45" s="31"/>
      <c r="FQ45" s="31"/>
      <c r="FR45" s="31"/>
      <c r="FS45" s="31"/>
      <c r="FT45" s="31"/>
      <c r="FU45" s="31"/>
      <c r="FV45" s="31"/>
      <c r="FW45" s="31"/>
      <c r="FX45" s="31"/>
      <c r="FY45" s="31"/>
      <c r="FZ45" s="31"/>
      <c r="GA45" s="31"/>
      <c r="GB45" s="31"/>
      <c r="GC45" s="31"/>
      <c r="GD45" s="31"/>
      <c r="GE45" s="31"/>
      <c r="GF45" s="31"/>
      <c r="GG45" s="31"/>
      <c r="GH45" s="31"/>
    </row>
    <row r="46" spans="1:190" s="81" customFormat="1" ht="10.5" customHeight="1">
      <c r="A46" s="31"/>
      <c r="B46" s="31"/>
      <c r="C46" s="31"/>
      <c r="D46" s="31"/>
      <c r="E46" s="31"/>
      <c r="F46" s="31"/>
      <c r="G46" s="31"/>
      <c r="H46" s="306" t="str">
        <f>IF($B$2="BG","Обща сума утежнения","Total surcharge")</f>
        <v>Обща сума утежнения</v>
      </c>
      <c r="I46" s="307"/>
      <c r="J46" s="307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308">
        <f>BJ43</f>
        <v>0</v>
      </c>
      <c r="Y46" s="308"/>
      <c r="Z46" s="308"/>
      <c r="AA46" s="308"/>
      <c r="AB46" s="308"/>
      <c r="AC46" s="308"/>
      <c r="AD46" s="308"/>
      <c r="AE46" s="308"/>
      <c r="AF46" s="308"/>
      <c r="AG46" s="308"/>
      <c r="AH46" s="308"/>
      <c r="AI46" s="308"/>
      <c r="AJ46" s="308"/>
      <c r="AK46" s="308"/>
      <c r="AL46" s="308"/>
      <c r="AM46" s="308"/>
      <c r="AN46" s="308"/>
      <c r="AO46" s="308"/>
      <c r="AP46" s="308"/>
      <c r="AQ46" s="308"/>
      <c r="AR46" s="308"/>
      <c r="AS46" s="308"/>
      <c r="AT46" s="308"/>
      <c r="AU46" s="308"/>
      <c r="AV46" s="308"/>
      <c r="AW46" s="308"/>
      <c r="AX46" s="308"/>
      <c r="AY46" s="308"/>
      <c r="AZ46" s="308"/>
      <c r="BA46" s="308"/>
      <c r="BB46" s="308"/>
      <c r="BC46" s="159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  <c r="BW46" s="31"/>
      <c r="BX46" s="31"/>
      <c r="BY46" s="31"/>
      <c r="BZ46" s="31"/>
      <c r="CA46" s="31"/>
      <c r="CB46" s="31"/>
      <c r="CC46" s="31"/>
      <c r="CD46" s="31"/>
      <c r="CE46" s="31"/>
      <c r="CF46" s="31"/>
      <c r="CG46" s="31"/>
      <c r="CH46" s="31"/>
      <c r="CI46" s="31"/>
      <c r="CJ46" s="31"/>
      <c r="CK46" s="31"/>
      <c r="CL46" s="31"/>
      <c r="CM46" s="31"/>
      <c r="CN46" s="31"/>
      <c r="CO46" s="31"/>
      <c r="CP46" s="31"/>
      <c r="CQ46" s="31"/>
      <c r="CR46" s="31"/>
      <c r="CS46" s="31"/>
      <c r="CT46" s="31"/>
      <c r="CU46" s="31"/>
      <c r="CV46" s="31"/>
      <c r="CW46" s="31"/>
      <c r="CX46" s="31"/>
      <c r="CY46" s="31"/>
      <c r="CZ46" s="31"/>
      <c r="DA46" s="31"/>
      <c r="DB46" s="31"/>
      <c r="DC46" s="31"/>
      <c r="DD46" s="31"/>
      <c r="DE46" s="31"/>
      <c r="DF46" s="31"/>
      <c r="DG46" s="31"/>
      <c r="DH46" s="31"/>
      <c r="DI46" s="31"/>
      <c r="DJ46" s="31"/>
      <c r="DK46" s="31"/>
      <c r="DL46" s="31"/>
      <c r="DM46" s="31"/>
      <c r="DN46" s="31"/>
      <c r="DO46" s="31"/>
      <c r="DP46" s="31"/>
      <c r="DQ46" s="31"/>
      <c r="DR46" s="31"/>
      <c r="DS46" s="31"/>
      <c r="DT46" s="31"/>
      <c r="DU46" s="31"/>
      <c r="DV46" s="31"/>
      <c r="DW46" s="31"/>
      <c r="DX46" s="31"/>
      <c r="DY46" s="31"/>
      <c r="DZ46" s="31"/>
      <c r="EA46" s="31"/>
      <c r="EB46" s="31"/>
      <c r="EC46" s="31"/>
      <c r="ED46" s="31"/>
      <c r="EE46" s="31"/>
      <c r="EF46" s="31"/>
      <c r="EG46" s="31"/>
      <c r="EH46" s="31"/>
      <c r="EI46" s="31"/>
      <c r="EJ46" s="31"/>
      <c r="EK46" s="31"/>
      <c r="EL46" s="31"/>
      <c r="EM46" s="31"/>
      <c r="EN46" s="31"/>
      <c r="EO46" s="31"/>
      <c r="EP46" s="31"/>
      <c r="EQ46" s="31"/>
      <c r="ER46" s="31"/>
      <c r="ES46" s="31"/>
      <c r="ET46" s="31"/>
      <c r="EU46" s="31"/>
      <c r="EV46" s="31"/>
      <c r="EW46" s="31"/>
      <c r="EX46" s="31"/>
      <c r="EY46" s="31"/>
      <c r="EZ46" s="31"/>
      <c r="FA46" s="31"/>
      <c r="FB46" s="31"/>
      <c r="FC46" s="31"/>
      <c r="FD46" s="31"/>
      <c r="FE46" s="31"/>
      <c r="FF46" s="31"/>
      <c r="FG46" s="31"/>
      <c r="FH46" s="31"/>
      <c r="FI46" s="31"/>
      <c r="FJ46" s="31"/>
      <c r="FK46" s="31"/>
      <c r="FL46" s="31"/>
      <c r="FM46" s="31"/>
      <c r="FN46" s="31"/>
      <c r="FO46" s="31"/>
      <c r="FP46" s="31"/>
      <c r="FQ46" s="31"/>
      <c r="FR46" s="31"/>
      <c r="FS46" s="31"/>
      <c r="FT46" s="31"/>
      <c r="FU46" s="31"/>
      <c r="FV46" s="31"/>
      <c r="FW46" s="31"/>
      <c r="FX46" s="31"/>
      <c r="FY46" s="31"/>
      <c r="FZ46" s="31"/>
      <c r="GA46" s="31"/>
      <c r="GB46" s="31"/>
      <c r="GC46" s="31"/>
      <c r="GD46" s="31"/>
      <c r="GE46" s="31"/>
      <c r="GF46" s="31"/>
      <c r="GG46" s="31"/>
      <c r="GH46" s="31"/>
    </row>
    <row r="47" spans="1:10" ht="17.25" customHeight="1">
      <c r="A47" s="304" t="str">
        <f>IF($B$2="BG","Отстъпки","Discounts")</f>
        <v>Отстъпки</v>
      </c>
      <c r="B47" s="153" t="str">
        <f>IF($B$2="BG","Брутна сума","Gross budget")</f>
        <v>Брутна сума</v>
      </c>
      <c r="H47" s="51"/>
      <c r="I47" s="51"/>
      <c r="J47" s="51"/>
    </row>
    <row r="48" spans="1:55" ht="17.25" customHeight="1">
      <c r="A48" s="305"/>
      <c r="B48" s="172">
        <f>J43</f>
        <v>0</v>
      </c>
      <c r="C48" s="309" t="str">
        <f>IF($B$2="BG","Разпределение на бюджета по канали и PT/OPT","Budget Distribution by Channel and PT/OPT")</f>
        <v>Разпределение на бюджета по канали и PT/OPT</v>
      </c>
      <c r="D48" s="310"/>
      <c r="E48" s="310"/>
      <c r="F48" s="310"/>
      <c r="G48" s="310"/>
      <c r="H48" s="310"/>
      <c r="I48" s="311"/>
      <c r="M48" s="51"/>
      <c r="N48" s="51"/>
      <c r="O48" s="51"/>
      <c r="P48" s="51"/>
      <c r="Q48" s="51"/>
      <c r="R48" s="51"/>
      <c r="AZ48" s="51"/>
      <c r="BA48" s="51"/>
      <c r="BB48" s="51"/>
      <c r="BC48" s="51"/>
    </row>
    <row r="49" spans="1:55" ht="14.25" customHeight="1">
      <c r="A49" s="190" t="str">
        <f>IF($B$2="BG","Отстъпки","Discounts")</f>
        <v>Отстъпки</v>
      </c>
      <c r="B49" s="196"/>
      <c r="C49" s="312"/>
      <c r="D49" s="313"/>
      <c r="E49" s="313"/>
      <c r="F49" s="313"/>
      <c r="G49" s="313"/>
      <c r="H49" s="313"/>
      <c r="I49" s="314"/>
      <c r="M49" s="51"/>
      <c r="N49" s="51"/>
      <c r="O49" s="51"/>
      <c r="P49" s="51"/>
      <c r="Q49" s="51"/>
      <c r="R49" s="51"/>
      <c r="AZ49" s="51"/>
      <c r="BA49" s="51"/>
      <c r="BB49" s="51"/>
      <c r="BC49" s="51"/>
    </row>
    <row r="50" spans="1:55" ht="14.25" customHeight="1">
      <c r="A50" s="190" t="str">
        <f>IF($B$2="BG","Отстъпки","Discounts")</f>
        <v>Отстъпки</v>
      </c>
      <c r="B50" s="196"/>
      <c r="C50" s="303" t="str">
        <f>IF($B$2="BG","Канал","Channel")</f>
        <v>Канал</v>
      </c>
      <c r="D50" s="303" t="str">
        <f>IF($B$2="BG","Брутен бюджет","Gross budget")</f>
        <v>Брутен бюджет</v>
      </c>
      <c r="E50" s="303" t="str">
        <f>IF($B$2="BG","% от общия бюджет","Channel distribution %")</f>
        <v>% от общия бюджет</v>
      </c>
      <c r="F50" s="303" t="str">
        <f>IF($B$2="BG","Бюджет в ПТ","Budget in PT")</f>
        <v>Бюджет в ПТ</v>
      </c>
      <c r="G50" s="303" t="str">
        <f>IF($B$2="BG","Бюджет в ОПТ","Budget in OPT")</f>
        <v>Бюджет в ОПТ</v>
      </c>
      <c r="H50" s="303" t="s">
        <v>50</v>
      </c>
      <c r="I50" s="303" t="s">
        <v>51</v>
      </c>
      <c r="M50" s="51"/>
      <c r="N50" s="51"/>
      <c r="O50" s="51"/>
      <c r="P50" s="51"/>
      <c r="Q50" s="51"/>
      <c r="R50" s="51"/>
      <c r="AZ50" s="51"/>
      <c r="BA50" s="51"/>
      <c r="BB50" s="51"/>
      <c r="BC50" s="51"/>
    </row>
    <row r="51" spans="1:55" ht="14.25" customHeight="1">
      <c r="A51" s="194" t="str">
        <f>IF($B$2="BG","Общо отстъпки","Total Discounts")</f>
        <v>Общо отстъпки</v>
      </c>
      <c r="B51" s="197">
        <f>1-(1-B49)*(1-B50)</f>
        <v>0</v>
      </c>
      <c r="C51" s="303"/>
      <c r="D51" s="303"/>
      <c r="E51" s="303"/>
      <c r="F51" s="303"/>
      <c r="G51" s="303"/>
      <c r="H51" s="303"/>
      <c r="I51" s="303"/>
      <c r="M51" s="51"/>
      <c r="N51" s="51"/>
      <c r="O51" s="51"/>
      <c r="P51" s="51"/>
      <c r="Q51" s="51"/>
      <c r="R51" s="51"/>
      <c r="AZ51" s="51"/>
      <c r="BA51" s="51"/>
      <c r="BB51" s="51"/>
      <c r="BC51" s="51"/>
    </row>
    <row r="52" spans="1:55" ht="14.25" customHeight="1">
      <c r="A52" s="190" t="str">
        <f>IF($B$2="BG","Изработка на платен репортаж","Paid report Producement")</f>
        <v>Изработка на платен репортаж</v>
      </c>
      <c r="B52" s="198">
        <v>0</v>
      </c>
      <c r="C52" s="190" t="str">
        <f>IF($B$2="BG","БНТ 1 фикс. цени","BNT 1 fixed price")</f>
        <v>БНТ 1 фикс. цени</v>
      </c>
      <c r="D52" s="187">
        <f>БНТ1_fixed!B46</f>
        <v>0</v>
      </c>
      <c r="E52" s="201">
        <f>БНТ1_fixed!E50</f>
        <v>0</v>
      </c>
      <c r="F52" s="187">
        <f>БНТ1_fixed!F50</f>
        <v>0</v>
      </c>
      <c r="G52" s="187">
        <f>БНТ1_fixed!G50</f>
        <v>0</v>
      </c>
      <c r="H52" s="195">
        <f>БНТ1_fixed!H50</f>
        <v>0</v>
      </c>
      <c r="I52" s="195">
        <f>БНТ1_fixed!I50</f>
        <v>0</v>
      </c>
      <c r="M52" s="51"/>
      <c r="N52" s="51"/>
      <c r="O52" s="51"/>
      <c r="P52" s="51"/>
      <c r="Q52" s="51"/>
      <c r="R52" s="51"/>
      <c r="AZ52" s="51"/>
      <c r="BA52" s="51"/>
      <c r="BB52" s="51"/>
      <c r="BC52" s="51"/>
    </row>
    <row r="53" spans="1:55" ht="14.25" customHeight="1">
      <c r="A53" s="190" t="str">
        <f>IF($B$2="BG","Утежнения","Surcharge")</f>
        <v>Утежнения</v>
      </c>
      <c r="B53" s="198">
        <f>BH43</f>
        <v>0</v>
      </c>
      <c r="C53" s="190" t="str">
        <f>IF($B$2="BG","БНТ 2 фикс. цени","BNT 2 fixed")</f>
        <v>БНТ 2 фикс. цени</v>
      </c>
      <c r="D53" s="187">
        <f>'БНТ 2_fixed'!B37</f>
        <v>0</v>
      </c>
      <c r="E53" s="201">
        <f>'БНТ 2_fixed'!E42</f>
        <v>0</v>
      </c>
      <c r="F53" s="187">
        <f>'БНТ 2_fixed'!F42</f>
        <v>0</v>
      </c>
      <c r="G53" s="187">
        <f>'БНТ 2_fixed'!G42</f>
        <v>0</v>
      </c>
      <c r="H53" s="195">
        <f>'БНТ 2_fixed'!H42</f>
        <v>0</v>
      </c>
      <c r="I53" s="195">
        <f>'БНТ 2_fixed'!I42</f>
        <v>0</v>
      </c>
      <c r="M53" s="51"/>
      <c r="N53" s="51"/>
      <c r="O53" s="51"/>
      <c r="P53" s="51"/>
      <c r="Q53" s="51"/>
      <c r="R53" s="51"/>
      <c r="AZ53" s="51"/>
      <c r="BA53" s="51"/>
      <c r="BB53" s="51"/>
      <c r="BC53" s="51"/>
    </row>
    <row r="54" spans="1:55" ht="14.25" customHeight="1">
      <c r="A54" s="190" t="str">
        <f>IF($B$2="BG","Закъснение","Delay")</f>
        <v>Закъснение</v>
      </c>
      <c r="B54" s="198">
        <f>BI44</f>
        <v>0</v>
      </c>
      <c r="C54" s="190" t="str">
        <f>IF($B$2="BG","БНТ 3 фикс. цени","BNT 3 fixed")</f>
        <v>БНТ 3 фикс. цени</v>
      </c>
      <c r="D54" s="187">
        <f>B48</f>
        <v>0</v>
      </c>
      <c r="E54" s="201">
        <f>_xlfn.IFERROR(D54/$D$56,0)</f>
        <v>0</v>
      </c>
      <c r="F54" s="187">
        <f>_xlfn.IFERROR(SUMIF($F$13:$F$42,"PT",$J$13:$W$42),0)</f>
        <v>0</v>
      </c>
      <c r="G54" s="187">
        <f>_xlfn.IFERROR(SUMIF($F$13:$F$42,"OPT",$J$13:$W$42),0)</f>
        <v>0</v>
      </c>
      <c r="H54" s="195" t="str">
        <f>_xlfn.IFERROR(F54/J43,"0%")</f>
        <v>0%</v>
      </c>
      <c r="I54" s="195" t="str">
        <f>_xlfn.IFERROR(G54/J43,"0%")</f>
        <v>0%</v>
      </c>
      <c r="M54" s="51"/>
      <c r="N54" s="51"/>
      <c r="O54" s="51"/>
      <c r="P54" s="51"/>
      <c r="Q54" s="51"/>
      <c r="R54" s="51"/>
      <c r="AZ54" s="51"/>
      <c r="BA54" s="51"/>
      <c r="BB54" s="51"/>
      <c r="BC54" s="51"/>
    </row>
    <row r="55" spans="1:22" ht="14.25" customHeight="1">
      <c r="A55" s="194" t="str">
        <f>IF($B$2="BG","Нетна сума без ДДС","Net budget without VAT")</f>
        <v>Нетна сума без ДДС</v>
      </c>
      <c r="B55" s="199">
        <f>(B48*(100%-B49)*(100%-B50)+B52+B54)</f>
        <v>0</v>
      </c>
      <c r="C55" s="190" t="str">
        <f>IF($B$2="BG","БНТ 4 фикс. цени","BNT 4 fixed")</f>
        <v>БНТ 4 фикс. цени</v>
      </c>
      <c r="D55" s="187">
        <f>'БНТ 4_fixed'!B51</f>
        <v>0</v>
      </c>
      <c r="E55" s="201">
        <f>'БНТ 4_fixed'!E58</f>
        <v>0</v>
      </c>
      <c r="F55" s="187">
        <f>'БНТ 4_fixed'!F58</f>
        <v>0</v>
      </c>
      <c r="G55" s="187">
        <f>'БНТ 4_fixed'!G58</f>
        <v>0</v>
      </c>
      <c r="H55" s="195">
        <f>'БНТ 4_fixed'!H58</f>
        <v>0</v>
      </c>
      <c r="I55" s="195" t="str">
        <f>'БНТ 4_fixed'!I58</f>
        <v>0%</v>
      </c>
      <c r="M55" s="51"/>
      <c r="N55" s="51"/>
      <c r="O55" s="51"/>
      <c r="P55" s="51"/>
      <c r="Q55" s="51"/>
      <c r="R55" s="51"/>
      <c r="T55" s="51"/>
      <c r="U55" s="51"/>
      <c r="V55" s="51"/>
    </row>
    <row r="56" spans="1:22" ht="14.25" customHeight="1">
      <c r="A56" s="190" t="str">
        <f>IF($B$2="BG","ДДС","VAT")</f>
        <v>ДДС</v>
      </c>
      <c r="B56" s="200">
        <v>0.2</v>
      </c>
      <c r="C56" s="194" t="str">
        <f>IF($B$2="BG","Общо","Total")</f>
        <v>Общо</v>
      </c>
      <c r="D56" s="187">
        <f>SUM(D52:D55)</f>
        <v>0</v>
      </c>
      <c r="E56" s="201">
        <f>SUM(E52:E55)</f>
        <v>0</v>
      </c>
      <c r="F56" s="187">
        <f>SUM(F52:F55)</f>
        <v>0</v>
      </c>
      <c r="G56" s="187">
        <f>SUM(G52:G55)</f>
        <v>0</v>
      </c>
      <c r="H56" s="195">
        <f>IF(E56=0,"",(F56/D56))</f>
      </c>
      <c r="I56" s="195">
        <f>IF(E56=0,"",(G56/D56))</f>
      </c>
      <c r="M56" s="51"/>
      <c r="N56" s="51"/>
      <c r="O56" s="51"/>
      <c r="P56" s="51"/>
      <c r="Q56" s="51"/>
      <c r="R56" s="51"/>
      <c r="S56" s="51"/>
      <c r="T56" s="51"/>
      <c r="U56" s="51"/>
      <c r="V56" s="51"/>
    </row>
    <row r="57" spans="1:22" ht="14.25" customHeight="1">
      <c r="A57" s="194" t="str">
        <f>IF($B$2="BG","Нетна сума с ДДС","Net budget with VAT")</f>
        <v>Нетна сума с ДДС</v>
      </c>
      <c r="B57" s="199">
        <f>B55+(B55*B56)</f>
        <v>0</v>
      </c>
      <c r="G57" s="51"/>
      <c r="H57" s="51"/>
      <c r="I57" s="51"/>
      <c r="M57" s="51"/>
      <c r="N57" s="51"/>
      <c r="O57" s="51"/>
      <c r="P57" s="51"/>
      <c r="Q57" s="51"/>
      <c r="R57" s="51"/>
      <c r="S57" s="51"/>
      <c r="T57" s="51"/>
      <c r="U57" s="51"/>
      <c r="V57" s="52"/>
    </row>
    <row r="58" spans="1:22" ht="14.25" customHeight="1">
      <c r="A58" s="240"/>
      <c r="B58" s="241"/>
      <c r="G58" s="51"/>
      <c r="H58" s="51"/>
      <c r="I58" s="51"/>
      <c r="M58" s="51"/>
      <c r="N58" s="51"/>
      <c r="O58" s="51"/>
      <c r="P58" s="51"/>
      <c r="Q58" s="51"/>
      <c r="R58" s="51"/>
      <c r="S58" s="51"/>
      <c r="T58" s="51"/>
      <c r="U58" s="51"/>
      <c r="V58" s="52"/>
    </row>
    <row r="59" spans="1:23" ht="12.75" customHeight="1">
      <c r="A59" s="36"/>
      <c r="B59" s="53"/>
      <c r="G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</row>
    <row r="60" spans="1:23" ht="12.75" customHeight="1">
      <c r="A60" s="54" t="str">
        <f>IF($B$2="BG","Приел:","Executed by:")</f>
        <v>Приел:</v>
      </c>
      <c r="B60" s="122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</row>
    <row r="61" spans="1:2" ht="12.75" customHeight="1">
      <c r="A61" s="54"/>
      <c r="B61" s="122"/>
    </row>
    <row r="62" spans="1:2" ht="12.75" customHeight="1">
      <c r="A62" s="54"/>
      <c r="B62" s="122"/>
    </row>
    <row r="63" ht="12.75" customHeight="1">
      <c r="B63" s="122"/>
    </row>
    <row r="64" spans="1:2" ht="12.75" customHeight="1">
      <c r="A64" s="54" t="str">
        <f>IF($B$2="BG","Светла Цветкова:","Tsvetkova Svetla:")</f>
        <v>Светла Цветкова:</v>
      </c>
      <c r="B64" s="122"/>
    </row>
    <row r="65" spans="1:2" ht="12.75" customHeight="1">
      <c r="A65" s="54" t="str">
        <f>IF($B$2="BG","Трафик Експерт:","Traffik Expert:")</f>
        <v>Трафик Експерт:</v>
      </c>
      <c r="B65" s="122"/>
    </row>
    <row r="66" spans="1:5" ht="12.75" customHeight="1">
      <c r="A66" s="54"/>
      <c r="B66" s="122"/>
      <c r="E66" s="54" t="str">
        <f>IF($B$2="BG","Заявил:","Requested by:")</f>
        <v>Заявил:</v>
      </c>
    </row>
    <row r="67" spans="1:5" ht="13.5" customHeight="1">
      <c r="A67" s="54"/>
      <c r="B67" s="122"/>
      <c r="E67" s="54"/>
    </row>
    <row r="68" spans="2:5" ht="13.5" customHeight="1">
      <c r="B68" s="122"/>
      <c r="E68" s="54"/>
    </row>
    <row r="69" spans="1:2" ht="13.5" customHeight="1">
      <c r="A69" s="54" t="str">
        <f>IF($B$2="BG","Станислав Пенович:","Penovich Stanislav:")</f>
        <v>Станислав Пенович:</v>
      </c>
      <c r="B69" s="122"/>
    </row>
    <row r="70" spans="1:2" ht="13.5" customHeight="1">
      <c r="A70" s="54" t="str">
        <f>IF($B$2="BG","Директор  Маркетинг и комуникации:","CEO Marketing and Communication:")</f>
        <v>Директор  Маркетинг и комуникации:</v>
      </c>
      <c r="B70" s="122"/>
    </row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</sheetData>
  <sheetProtection/>
  <protectedRanges>
    <protectedRange sqref="A6" name="Range1"/>
    <protectedRange sqref="A7" name="Range1_1"/>
    <protectedRange sqref="A8" name="Range1_2"/>
    <protectedRange sqref="A9" name="Range1_3"/>
    <protectedRange sqref="A10" name="Range1_4"/>
    <protectedRange sqref="A11" name="Range1_5"/>
    <protectedRange sqref="E66:E68 A60:B68 C69:C76 B69:B70" name="Range7_1"/>
    <protectedRange sqref="A69" name="Range7_2"/>
    <protectedRange sqref="A70" name="Range7_1_1_1"/>
  </protectedRanges>
  <autoFilter ref="X12:BB12"/>
  <mergeCells count="38">
    <mergeCell ref="AV44:BB44"/>
    <mergeCell ref="AV45:BB45"/>
    <mergeCell ref="G10:I10"/>
    <mergeCell ref="G11:I11"/>
    <mergeCell ref="AO44:AU44"/>
    <mergeCell ref="AO45:AU45"/>
    <mergeCell ref="AH44:AN44"/>
    <mergeCell ref="AH45:AN45"/>
    <mergeCell ref="X44:Z44"/>
    <mergeCell ref="X45:Z45"/>
    <mergeCell ref="AA44:AG44"/>
    <mergeCell ref="AA45:AG45"/>
    <mergeCell ref="C4:D4"/>
    <mergeCell ref="C5:D5"/>
    <mergeCell ref="C6:D6"/>
    <mergeCell ref="C7:D7"/>
    <mergeCell ref="C10:D10"/>
    <mergeCell ref="C11:D11"/>
    <mergeCell ref="X10:BB11"/>
    <mergeCell ref="E10:F10"/>
    <mergeCell ref="A1:I1"/>
    <mergeCell ref="A47:A48"/>
    <mergeCell ref="H46:J46"/>
    <mergeCell ref="X46:BB46"/>
    <mergeCell ref="H44:J44"/>
    <mergeCell ref="H45:J45"/>
    <mergeCell ref="C48:I49"/>
    <mergeCell ref="C9:D9"/>
    <mergeCell ref="C3:D3"/>
    <mergeCell ref="C8:D8"/>
    <mergeCell ref="E11:F11"/>
    <mergeCell ref="I50:I51"/>
    <mergeCell ref="C50:C51"/>
    <mergeCell ref="D50:D51"/>
    <mergeCell ref="E50:E51"/>
    <mergeCell ref="F50:F51"/>
    <mergeCell ref="G50:G51"/>
    <mergeCell ref="H50:H51"/>
  </mergeCells>
  <conditionalFormatting sqref="V57:V58 A1">
    <cfRule type="cellIs" priority="34" dxfId="2" operator="equal" stopIfTrue="1">
      <formula>0</formula>
    </cfRule>
  </conditionalFormatting>
  <conditionalFormatting sqref="E66:E68">
    <cfRule type="cellIs" priority="18" dxfId="2" operator="equal" stopIfTrue="1">
      <formula>0</formula>
    </cfRule>
  </conditionalFormatting>
  <conditionalFormatting sqref="A60:A62 A64:A68">
    <cfRule type="cellIs" priority="20" dxfId="2" operator="equal" stopIfTrue="1">
      <formula>0</formula>
    </cfRule>
  </conditionalFormatting>
  <conditionalFormatting sqref="E5">
    <cfRule type="cellIs" priority="15" dxfId="0" operator="equal" stopIfTrue="1">
      <formula>"B"</formula>
    </cfRule>
  </conditionalFormatting>
  <conditionalFormatting sqref="E6">
    <cfRule type="cellIs" priority="14" dxfId="10" operator="equal" stopIfTrue="1">
      <formula>"C"</formula>
    </cfRule>
  </conditionalFormatting>
  <conditionalFormatting sqref="E7">
    <cfRule type="cellIs" priority="13" dxfId="4" operator="equal" stopIfTrue="1">
      <formula>"D"</formula>
    </cfRule>
  </conditionalFormatting>
  <conditionalFormatting sqref="E8">
    <cfRule type="cellIs" priority="12" dxfId="5" operator="equal" stopIfTrue="1">
      <formula>"E"</formula>
    </cfRule>
  </conditionalFormatting>
  <conditionalFormatting sqref="E9">
    <cfRule type="cellIs" priority="11" dxfId="6" operator="equal" stopIfTrue="1">
      <formula>"F"</formula>
    </cfRule>
  </conditionalFormatting>
  <conditionalFormatting sqref="X13:BB42">
    <cfRule type="cellIs" priority="5" dxfId="6" operator="equal" stopIfTrue="1">
      <formula>"F"</formula>
    </cfRule>
    <cfRule type="cellIs" priority="6" dxfId="5" operator="equal" stopIfTrue="1">
      <formula>"E"</formula>
    </cfRule>
    <cfRule type="cellIs" priority="7" dxfId="4" operator="equal" stopIfTrue="1">
      <formula>"D"</formula>
    </cfRule>
    <cfRule type="cellIs" priority="8" dxfId="10" operator="equal" stopIfTrue="1">
      <formula>"C"</formula>
    </cfRule>
    <cfRule type="cellIs" priority="9" dxfId="0" operator="equal" stopIfTrue="1">
      <formula>"B"</formula>
    </cfRule>
    <cfRule type="cellIs" priority="10" dxfId="1" operator="equal" stopIfTrue="1">
      <formula>"A"</formula>
    </cfRule>
  </conditionalFormatting>
  <conditionalFormatting sqref="A69">
    <cfRule type="cellIs" priority="4" dxfId="2" operator="equal" stopIfTrue="1">
      <formula>0</formula>
    </cfRule>
  </conditionalFormatting>
  <conditionalFormatting sqref="A70">
    <cfRule type="cellIs" priority="3" dxfId="2" operator="equal" stopIfTrue="1">
      <formula>0</formula>
    </cfRule>
  </conditionalFormatting>
  <conditionalFormatting sqref="E4">
    <cfRule type="cellIs" priority="1" dxfId="1" operator="equal" stopIfTrue="1">
      <formula>"A"</formula>
    </cfRule>
    <cfRule type="cellIs" priority="2" dxfId="0" operator="equal" stopIfTrue="1">
      <formula>"B"</formula>
    </cfRule>
  </conditionalFormatting>
  <dataValidations count="12">
    <dataValidation type="list" allowBlank="1" showInputMessage="1" showErrorMessage="1" sqref="G13:G42">
      <formula1>reklama9</formula1>
    </dataValidation>
    <dataValidation type="list" allowBlank="1" showInputMessage="1" showErrorMessage="1" sqref="D13:D42">
      <formula1>time100</formula1>
    </dataValidation>
    <dataValidation type="list" showDropDown="1" showInputMessage="1" showErrorMessage="1" sqref="X13:BB42">
      <formula1>Codes2</formula1>
    </dataValidation>
    <dataValidation type="list" showInputMessage="1" showErrorMessage="1" sqref="BC13:BC42">
      <formula1>Positions2</formula1>
    </dataValidation>
    <dataValidation type="list" allowBlank="1" showInputMessage="1" showErrorMessage="1" sqref="G43">
      <formula1>Reklama</formula1>
    </dataValidation>
    <dataValidation showInputMessage="1" showErrorMessage="1" sqref="BI13:BJ42"/>
    <dataValidation type="list" showInputMessage="1" showErrorMessage="1" sqref="BD13:BE42">
      <formula1>percent1</formula1>
    </dataValidation>
    <dataValidation type="list" allowBlank="1" showInputMessage="1" showErrorMessage="1" sqref="F4:F9">
      <formula1>duration1</formula1>
    </dataValidation>
    <dataValidation allowBlank="1" showInputMessage="1" showErrorMessage="1" sqref="B50"/>
    <dataValidation type="list" allowBlank="1" showInputMessage="1" showErrorMessage="1" sqref="B2:B3">
      <formula1>$AE$3:$AE$4</formula1>
    </dataValidation>
    <dataValidation type="list" allowBlank="1" showInputMessage="1" showErrorMessage="1" sqref="I4:I9">
      <formula1>"Да/Yes"</formula1>
    </dataValidation>
    <dataValidation type="list" allowBlank="1" showInputMessage="1" showErrorMessage="1" sqref="C13:C42">
      <formula1>newdays</formula1>
    </dataValidation>
  </dataValidations>
  <printOptions/>
  <pageMargins left="0.1968503937007874" right="0" top="0.15748031496062992" bottom="0.4724409448818898" header="0.15748031496062992" footer="0.5118110236220472"/>
  <pageSetup fitToHeight="0" horizontalDpi="600" verticalDpi="600" orientation="landscape" paperSize="9" scale="38" r:id="rId4"/>
  <ignoredErrors>
    <ignoredError sqref="B5:B9 B11:C11 B23:B42 G22:G42 X22:X42 B13:B22 A4:A11 E3 I46:J46 I44:J44 I45:J45 H44 H43:J43 H46 H45 A63:B65 B68:B70 A68 A60:B60 E66 J10:W11 A12:X12 BC12:BJ12 BG43:BJ43 C50:I51 C48 BR14:BR42 C74:C76 C69:C71 W13:W42 C52:C56 D24:D42 BR13 B51 B55 A50:B50 B52:B53 B56:B57 A51:A57 B47:B48 A49:B49 A47:A48 A59:B59 AW45:AY45 AP45:AU45 AI45:AN45 AB45:AG45 AA44:AY44 X46:BB46 X45:AA45 X44:Z44 AH45 AO45 AV45 BQ14:BQ42 BQ13 C3 X10 BM13:BO13 BM14:BO42 BL43:BP43 BL13 BL14:BL42 BP14:BP42 BP13 F3:I3 B10:C10 E10 E11 G10 G11 G4:G9 H4:H9 E4:E9 V14:V42 V13 T14:T42 T13 R14:R42 R13 P14:P42 P13 N14:N42 N13 L13 L14:L42 K13 K14:K42 M14:M42 M13 O13 O14:O42 Q13 Q14:Q42 S13 S14:S42 U13 U14:U42 A69:A70 A1" unlockedFormula="1"/>
    <ignoredError sqref="F17:F42 E17:E42 J13:J42 B54 Y43:BB43 X43" emptyCellReference="1" unlockedFormula="1"/>
    <ignoredError sqref="BI13:BI42" emptyCellReference="1"/>
    <ignoredError sqref="Y43:BB43" emptyCellReference="1" formulaRange="1" unlockedFormula="1"/>
    <ignoredError sqref="X43" formulaRange="1" unlockedFormula="1"/>
  </ignoredErrors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BQ81"/>
  <sheetViews>
    <sheetView showGridLines="0" zoomScale="85" zoomScaleNormal="85" workbookViewId="0" topLeftCell="A1">
      <selection activeCell="E23" sqref="E23"/>
    </sheetView>
  </sheetViews>
  <sheetFormatPr defaultColWidth="9.140625" defaultRowHeight="12.75"/>
  <cols>
    <col min="1" max="1" width="36.7109375" style="20" customWidth="1"/>
    <col min="2" max="2" width="27.421875" style="20" customWidth="1"/>
    <col min="3" max="3" width="16.421875" style="20" customWidth="1"/>
    <col min="4" max="4" width="13.00390625" style="20" customWidth="1"/>
    <col min="5" max="5" width="12.7109375" style="20" customWidth="1"/>
    <col min="6" max="6" width="11.421875" style="20" customWidth="1"/>
    <col min="7" max="7" width="14.00390625" style="20" customWidth="1"/>
    <col min="8" max="8" width="9.140625" style="20" customWidth="1"/>
    <col min="9" max="9" width="9.57421875" style="20" customWidth="1"/>
    <col min="10" max="10" width="11.8515625" style="20" customWidth="1"/>
    <col min="11" max="23" width="6.8515625" style="20" hidden="1" customWidth="1"/>
    <col min="24" max="54" width="3.8515625" style="20" customWidth="1"/>
    <col min="55" max="55" width="15.57421875" style="20" customWidth="1"/>
    <col min="56" max="56" width="12.00390625" style="20" hidden="1" customWidth="1"/>
    <col min="57" max="57" width="8.421875" style="20" customWidth="1"/>
    <col min="58" max="58" width="12.57421875" style="20" customWidth="1"/>
    <col min="59" max="59" width="13.140625" style="20" customWidth="1"/>
    <col min="60" max="60" width="11.57421875" style="20" customWidth="1"/>
    <col min="61" max="61" width="11.421875" style="20" customWidth="1"/>
    <col min="62" max="62" width="10.8515625" style="20" customWidth="1"/>
    <col min="63" max="63" width="9.140625" style="20" hidden="1" customWidth="1"/>
    <col min="64" max="64" width="9.8515625" style="20" hidden="1" customWidth="1"/>
    <col min="65" max="65" width="12.8515625" style="20" hidden="1" customWidth="1"/>
    <col min="66" max="68" width="9.28125" style="20" hidden="1" customWidth="1"/>
    <col min="69" max="69" width="9.140625" style="20" hidden="1" customWidth="1"/>
    <col min="70" max="70" width="9.28125" style="20" hidden="1" customWidth="1"/>
    <col min="71" max="71" width="9.140625" style="20" hidden="1" customWidth="1"/>
    <col min="72" max="101" width="9.140625" style="20" customWidth="1"/>
    <col min="102" max="16384" width="9.140625" style="20" customWidth="1"/>
  </cols>
  <sheetData>
    <row r="1" spans="1:26" ht="57.75" customHeight="1">
      <c r="A1" s="327" t="str">
        <f>IF($B$2="BG","Фиксирани цени за месец МАРТ 2019","Fixed Prices MARCH 2019")</f>
        <v>Фиксирани цени за месец МАРТ 2019</v>
      </c>
      <c r="B1" s="327"/>
      <c r="C1" s="327"/>
      <c r="D1" s="327"/>
      <c r="E1" s="327"/>
      <c r="F1" s="327"/>
      <c r="G1" s="327"/>
      <c r="H1" s="327"/>
      <c r="I1" s="327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2"/>
      <c r="X1" s="242"/>
      <c r="Y1" s="242"/>
      <c r="Z1" s="242"/>
    </row>
    <row r="2" spans="1:61" ht="17.25" customHeight="1">
      <c r="A2" s="163" t="s">
        <v>70</v>
      </c>
      <c r="B2" s="162" t="s">
        <v>72</v>
      </c>
      <c r="C2" s="112"/>
      <c r="D2" s="112"/>
      <c r="E2" s="112"/>
      <c r="F2" s="112"/>
      <c r="G2" s="112"/>
      <c r="H2" s="112"/>
      <c r="I2" s="112"/>
      <c r="J2" s="242"/>
      <c r="K2" s="242"/>
      <c r="L2" s="242"/>
      <c r="M2" s="242"/>
      <c r="N2" s="242"/>
      <c r="O2" s="242"/>
      <c r="P2" s="242"/>
      <c r="Q2" s="242"/>
      <c r="R2" s="242"/>
      <c r="S2" s="242"/>
      <c r="T2" s="242"/>
      <c r="U2" s="242"/>
      <c r="V2" s="242"/>
      <c r="W2" s="242"/>
      <c r="X2" s="242"/>
      <c r="Y2" s="242"/>
      <c r="Z2" s="242"/>
      <c r="AE2"/>
      <c r="BC2" s="24"/>
      <c r="BD2" s="24"/>
      <c r="BE2" s="24"/>
      <c r="BF2" s="24"/>
      <c r="BG2" s="24"/>
      <c r="BH2" s="24"/>
      <c r="BI2" s="24"/>
    </row>
    <row r="3" spans="1:30" ht="29.25" customHeight="1">
      <c r="A3" s="161"/>
      <c r="B3" s="161"/>
      <c r="C3" s="330" t="str">
        <f>IF($B$2="BG","Име на клип","Name ot spot")</f>
        <v>Име на клип</v>
      </c>
      <c r="D3" s="330"/>
      <c r="E3" s="233" t="str">
        <f>IF($B$2="BG","Код","Code")</f>
        <v>Код</v>
      </c>
      <c r="F3" s="233" t="str">
        <f>IF($B$2="BG","Секунди","Secоnds")</f>
        <v>Секунди</v>
      </c>
      <c r="G3" s="233" t="str">
        <f>IF($B$2="BG","Коефициент 30 сек.","Coefficient to 30 sec.")</f>
        <v>Коефициент 30 сек.</v>
      </c>
      <c r="H3" s="233" t="str">
        <f>IF($B$2="BG","Брой","Count")</f>
        <v>Брой</v>
      </c>
      <c r="I3" s="233" t="str">
        <f>IF($B$2="BG","Бонус/
Компенс.","Bonus/
Compens.")</f>
        <v>Бонус/
Компенс.</v>
      </c>
      <c r="J3" s="242"/>
      <c r="K3" s="242"/>
      <c r="L3" s="242"/>
      <c r="M3" s="242"/>
      <c r="N3" s="242"/>
      <c r="O3" s="242"/>
      <c r="P3" s="242"/>
      <c r="Q3" s="242"/>
      <c r="R3" s="242"/>
      <c r="S3" s="242"/>
      <c r="T3" s="242"/>
      <c r="U3" s="242"/>
      <c r="V3" s="242"/>
      <c r="W3" s="242"/>
      <c r="X3" s="242"/>
      <c r="Y3" s="242"/>
      <c r="Z3" s="242"/>
      <c r="AD3" s="117" t="s">
        <v>72</v>
      </c>
    </row>
    <row r="4" spans="1:30" ht="12" customHeight="1">
      <c r="A4" s="31" t="s">
        <v>91</v>
      </c>
      <c r="B4" s="22"/>
      <c r="C4" s="343"/>
      <c r="D4" s="343"/>
      <c r="E4" s="246" t="str">
        <f>IF(F4&lt;&gt;"","A","-")</f>
        <v>-</v>
      </c>
      <c r="F4" s="223"/>
      <c r="G4" s="247">
        <f>IF(F4="",0,VLOOKUP(F4,data!$B$17:$C$102,2,FALSE))</f>
        <v>0</v>
      </c>
      <c r="H4" s="35" t="b">
        <f aca="true" t="shared" si="0" ref="H4:H9">IF(F4&gt;0,(COUNTIF($X$13:$BB$44,E4)))</f>
        <v>0</v>
      </c>
      <c r="I4" s="223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  <c r="U4" s="242"/>
      <c r="V4" s="242"/>
      <c r="W4" s="242"/>
      <c r="X4" s="242"/>
      <c r="Y4" s="242"/>
      <c r="Z4" s="242"/>
      <c r="AD4" s="117" t="s">
        <v>71</v>
      </c>
    </row>
    <row r="5" spans="1:30" ht="12" customHeight="1">
      <c r="A5" s="34" t="s">
        <v>17</v>
      </c>
      <c r="B5" s="22"/>
      <c r="C5" s="344"/>
      <c r="D5" s="344"/>
      <c r="E5" s="246" t="str">
        <f>IF(F5&lt;&gt;"","B","-")</f>
        <v>-</v>
      </c>
      <c r="F5" s="223"/>
      <c r="G5" s="247">
        <f>IF(F5="",0,VLOOKUP(F5,data!$B$17:$C$102,2,FALSE))</f>
        <v>0</v>
      </c>
      <c r="H5" s="35" t="b">
        <f t="shared" si="0"/>
        <v>0</v>
      </c>
      <c r="I5" s="223"/>
      <c r="J5" s="242"/>
      <c r="K5" s="242"/>
      <c r="L5" s="242"/>
      <c r="M5" s="242"/>
      <c r="N5" s="242"/>
      <c r="O5" s="242"/>
      <c r="P5" s="242"/>
      <c r="Q5" s="242"/>
      <c r="R5" s="242"/>
      <c r="S5" s="242"/>
      <c r="T5" s="242"/>
      <c r="U5" s="242"/>
      <c r="V5" s="242"/>
      <c r="W5" s="242"/>
      <c r="X5" s="242"/>
      <c r="Y5" s="242"/>
      <c r="Z5" s="242"/>
      <c r="AD5" s="117"/>
    </row>
    <row r="6" spans="1:26" ht="12" customHeight="1">
      <c r="A6" s="34" t="s">
        <v>16</v>
      </c>
      <c r="B6" s="22"/>
      <c r="C6" s="256"/>
      <c r="D6" s="256"/>
      <c r="E6" s="246" t="str">
        <f>IF(F6&lt;&gt;"","C","-")</f>
        <v>-</v>
      </c>
      <c r="F6" s="223"/>
      <c r="G6" s="247">
        <f>IF(F6="",0,VLOOKUP(F6,data!$B$17:$C$102,2,FALSE))</f>
        <v>0</v>
      </c>
      <c r="H6" s="35" t="b">
        <f t="shared" si="0"/>
        <v>0</v>
      </c>
      <c r="I6" s="223"/>
      <c r="J6" s="242"/>
      <c r="K6" s="242"/>
      <c r="L6" s="242"/>
      <c r="M6" s="242"/>
      <c r="N6" s="242"/>
      <c r="O6" s="242"/>
      <c r="P6" s="242"/>
      <c r="Q6" s="242"/>
      <c r="R6" s="242"/>
      <c r="S6" s="242"/>
      <c r="T6" s="242"/>
      <c r="U6" s="242"/>
      <c r="V6" s="242"/>
      <c r="W6" s="242"/>
      <c r="X6" s="242"/>
      <c r="Y6" s="242"/>
      <c r="Z6" s="242"/>
    </row>
    <row r="7" spans="1:26" ht="12" customHeight="1">
      <c r="A7" s="34" t="s">
        <v>12</v>
      </c>
      <c r="B7" s="22"/>
      <c r="C7" s="256"/>
      <c r="D7" s="256"/>
      <c r="E7" s="232" t="str">
        <f>IF(F7&lt;&gt;"","D","-")</f>
        <v>-</v>
      </c>
      <c r="F7" s="223"/>
      <c r="G7" s="247">
        <f>IF(F7="",0,VLOOKUP(F7,data!$B$17:$C$102,2,FALSE))</f>
        <v>0</v>
      </c>
      <c r="H7" s="35" t="b">
        <f t="shared" si="0"/>
        <v>0</v>
      </c>
      <c r="I7" s="223"/>
      <c r="J7" s="242"/>
      <c r="K7" s="242"/>
      <c r="L7" s="242"/>
      <c r="M7" s="242"/>
      <c r="N7" s="242"/>
      <c r="O7" s="242"/>
      <c r="P7" s="242"/>
      <c r="Q7" s="242"/>
      <c r="R7" s="242"/>
      <c r="S7" s="242"/>
      <c r="T7" s="242"/>
      <c r="U7" s="242"/>
      <c r="V7" s="242"/>
      <c r="W7" s="242"/>
      <c r="X7" s="242"/>
      <c r="Y7" s="242"/>
      <c r="Z7" s="242"/>
    </row>
    <row r="8" spans="1:26" ht="12" customHeight="1">
      <c r="A8" s="34" t="s">
        <v>11</v>
      </c>
      <c r="B8" s="55"/>
      <c r="C8" s="256"/>
      <c r="D8" s="256"/>
      <c r="E8" s="232" t="str">
        <f>IF(F8&lt;&gt;"","E","-")</f>
        <v>-</v>
      </c>
      <c r="F8" s="223"/>
      <c r="G8" s="247">
        <f>IF(F8="",0,VLOOKUP(F8,data!$B$17:$C$102,2,FALSE))</f>
        <v>0</v>
      </c>
      <c r="H8" s="35" t="b">
        <f t="shared" si="0"/>
        <v>0</v>
      </c>
      <c r="I8" s="223"/>
      <c r="J8" s="242"/>
      <c r="K8" s="242"/>
      <c r="L8" s="242"/>
      <c r="M8" s="242"/>
      <c r="N8" s="242"/>
      <c r="O8" s="242"/>
      <c r="P8" s="242"/>
      <c r="Q8" s="242"/>
      <c r="R8" s="242"/>
      <c r="S8" s="242"/>
      <c r="T8" s="242"/>
      <c r="U8" s="242"/>
      <c r="V8" s="242"/>
      <c r="W8" s="242"/>
      <c r="X8" s="242"/>
      <c r="Y8" s="242"/>
      <c r="Z8" s="242"/>
    </row>
    <row r="9" spans="1:26" ht="12" customHeight="1">
      <c r="A9" s="34" t="s">
        <v>13</v>
      </c>
      <c r="B9" s="22"/>
      <c r="C9" s="323"/>
      <c r="D9" s="323"/>
      <c r="E9" s="232" t="str">
        <f>IF(F9&lt;&gt;"","F","-")</f>
        <v>-</v>
      </c>
      <c r="F9" s="223"/>
      <c r="G9" s="247">
        <f>IF(F9="",0,VLOOKUP(F9,data!$B$17:$C$102,2,FALSE))</f>
        <v>0</v>
      </c>
      <c r="H9" s="35" t="b">
        <f t="shared" si="0"/>
        <v>0</v>
      </c>
      <c r="I9" s="223"/>
      <c r="J9" s="242"/>
      <c r="K9" s="242"/>
      <c r="L9" s="242"/>
      <c r="M9" s="242"/>
      <c r="N9" s="242"/>
      <c r="O9" s="242"/>
      <c r="P9" s="242"/>
      <c r="Q9" s="242"/>
      <c r="R9" s="242"/>
      <c r="S9" s="242"/>
      <c r="T9" s="242"/>
      <c r="U9" s="242"/>
      <c r="V9" s="242"/>
      <c r="W9" s="242"/>
      <c r="X9" s="242"/>
      <c r="Y9" s="242"/>
      <c r="Z9" s="242"/>
    </row>
    <row r="10" spans="1:62" ht="12" customHeight="1">
      <c r="A10" s="34" t="s">
        <v>14</v>
      </c>
      <c r="B10" s="22"/>
      <c r="C10" s="256"/>
      <c r="D10" s="256"/>
      <c r="E10" s="324"/>
      <c r="F10" s="325"/>
      <c r="G10" s="324"/>
      <c r="H10" s="326"/>
      <c r="I10" s="325"/>
      <c r="J10" s="243"/>
      <c r="K10" s="244"/>
      <c r="L10" s="244"/>
      <c r="M10" s="244"/>
      <c r="N10" s="244"/>
      <c r="O10" s="244"/>
      <c r="P10" s="244"/>
      <c r="Q10" s="244"/>
      <c r="R10" s="244"/>
      <c r="S10" s="244"/>
      <c r="T10" s="244"/>
      <c r="U10" s="244"/>
      <c r="V10" s="244"/>
      <c r="W10" s="245"/>
      <c r="X10" s="331" t="str">
        <f>IF($B$2="BG","Март 2019","March 2019")</f>
        <v>Март 2019</v>
      </c>
      <c r="Y10" s="332"/>
      <c r="Z10" s="332"/>
      <c r="AA10" s="332"/>
      <c r="AB10" s="332"/>
      <c r="AC10" s="332"/>
      <c r="AD10" s="332"/>
      <c r="AE10" s="332"/>
      <c r="AF10" s="332"/>
      <c r="AG10" s="332"/>
      <c r="AH10" s="332"/>
      <c r="AI10" s="332"/>
      <c r="AJ10" s="332"/>
      <c r="AK10" s="332"/>
      <c r="AL10" s="332"/>
      <c r="AM10" s="332"/>
      <c r="AN10" s="332"/>
      <c r="AO10" s="332"/>
      <c r="AP10" s="332"/>
      <c r="AQ10" s="332"/>
      <c r="AR10" s="332"/>
      <c r="AS10" s="332"/>
      <c r="AT10" s="332"/>
      <c r="AU10" s="332"/>
      <c r="AV10" s="332"/>
      <c r="AW10" s="332"/>
      <c r="AX10" s="332"/>
      <c r="AY10" s="332"/>
      <c r="AZ10" s="332"/>
      <c r="BA10" s="332"/>
      <c r="BB10" s="333"/>
      <c r="BC10" s="25"/>
      <c r="BD10" s="25"/>
      <c r="BE10" s="25"/>
      <c r="BF10" s="25"/>
      <c r="BG10" s="25"/>
      <c r="BH10" s="25"/>
      <c r="BI10" s="25"/>
      <c r="BJ10" s="25"/>
    </row>
    <row r="11" spans="1:62" ht="12" customHeight="1">
      <c r="A11" s="34" t="s">
        <v>15</v>
      </c>
      <c r="B11" s="22"/>
      <c r="C11" s="324"/>
      <c r="D11" s="325"/>
      <c r="E11" s="324"/>
      <c r="F11" s="325"/>
      <c r="G11" s="324"/>
      <c r="H11" s="326"/>
      <c r="I11" s="325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334"/>
      <c r="Y11" s="335"/>
      <c r="Z11" s="335"/>
      <c r="AA11" s="335"/>
      <c r="AB11" s="335"/>
      <c r="AC11" s="335"/>
      <c r="AD11" s="335"/>
      <c r="AE11" s="335"/>
      <c r="AF11" s="335"/>
      <c r="AG11" s="335"/>
      <c r="AH11" s="335"/>
      <c r="AI11" s="335"/>
      <c r="AJ11" s="335"/>
      <c r="AK11" s="335"/>
      <c r="AL11" s="335"/>
      <c r="AM11" s="335"/>
      <c r="AN11" s="335"/>
      <c r="AO11" s="335"/>
      <c r="AP11" s="335"/>
      <c r="AQ11" s="335"/>
      <c r="AR11" s="335"/>
      <c r="AS11" s="335"/>
      <c r="AT11" s="335"/>
      <c r="AU11" s="335"/>
      <c r="AV11" s="335"/>
      <c r="AW11" s="335"/>
      <c r="AX11" s="335"/>
      <c r="AY11" s="335"/>
      <c r="AZ11" s="335"/>
      <c r="BA11" s="335"/>
      <c r="BB11" s="336"/>
      <c r="BC11" s="25"/>
      <c r="BD11" s="25"/>
      <c r="BE11" s="25"/>
      <c r="BF11" s="25"/>
      <c r="BG11" s="25"/>
      <c r="BH11" s="25"/>
      <c r="BI11" s="25"/>
      <c r="BJ11" s="25"/>
    </row>
    <row r="12" spans="1:69" ht="49.5" customHeight="1">
      <c r="A12" s="162" t="str">
        <f>IF($B$2="BG","Бележки","Notice")</f>
        <v>Бележки</v>
      </c>
      <c r="B12" s="162" t="str">
        <f>IF($B$2="BG","Програма","Program")</f>
        <v>Програма</v>
      </c>
      <c r="C12" s="162" t="str">
        <f>IF($B$2="BG","Ден","Day")</f>
        <v>Ден</v>
      </c>
      <c r="D12" s="162" t="str">
        <f>IF($B$2="BG","Час","Time")</f>
        <v>Час</v>
      </c>
      <c r="E12" s="162" t="str">
        <f>IF($B$2="BG","Ключ","Key")</f>
        <v>Ключ</v>
      </c>
      <c r="F12" s="162" t="str">
        <f>IF($B$2="BG","Часова зона","Day part")</f>
        <v>Часова зона</v>
      </c>
      <c r="G12" s="162" t="str">
        <f>IF($B$2="BG","Рекламна форма","TVC Type")</f>
        <v>Рекламна форма</v>
      </c>
      <c r="H12" s="162" t="str">
        <f>IF($B$2="BG","Цена за клип 30 сек.","30 sec Price")</f>
        <v>Цена за клип 30 сек.</v>
      </c>
      <c r="I12" s="162" t="str">
        <f>IF($B$2="BG","Брой","Count")</f>
        <v>Брой</v>
      </c>
      <c r="J12" s="162" t="str">
        <f>IF($B$2="BG","Общо цена","Total")</f>
        <v>Общо цена</v>
      </c>
      <c r="K12" s="162" t="s">
        <v>18</v>
      </c>
      <c r="L12" s="162" t="s">
        <v>19</v>
      </c>
      <c r="M12" s="162" t="s">
        <v>20</v>
      </c>
      <c r="N12" s="162" t="s">
        <v>25</v>
      </c>
      <c r="O12" s="162" t="s">
        <v>21</v>
      </c>
      <c r="P12" s="162" t="s">
        <v>26</v>
      </c>
      <c r="Q12" s="162" t="s">
        <v>22</v>
      </c>
      <c r="R12" s="162" t="s">
        <v>27</v>
      </c>
      <c r="S12" s="162" t="s">
        <v>23</v>
      </c>
      <c r="T12" s="162" t="s">
        <v>28</v>
      </c>
      <c r="U12" s="162" t="s">
        <v>24</v>
      </c>
      <c r="V12" s="162" t="s">
        <v>29</v>
      </c>
      <c r="W12" s="162" t="s">
        <v>30</v>
      </c>
      <c r="X12" s="182">
        <v>1</v>
      </c>
      <c r="Y12" s="56">
        <v>2</v>
      </c>
      <c r="Z12" s="56">
        <v>3</v>
      </c>
      <c r="AA12" s="182">
        <v>4</v>
      </c>
      <c r="AB12" s="222">
        <v>5</v>
      </c>
      <c r="AC12" s="222">
        <v>6</v>
      </c>
      <c r="AD12" s="222">
        <v>7</v>
      </c>
      <c r="AE12" s="222">
        <v>8</v>
      </c>
      <c r="AF12" s="56">
        <v>9</v>
      </c>
      <c r="AG12" s="56">
        <v>10</v>
      </c>
      <c r="AH12" s="222">
        <v>11</v>
      </c>
      <c r="AI12" s="222">
        <v>12</v>
      </c>
      <c r="AJ12" s="222">
        <v>13</v>
      </c>
      <c r="AK12" s="222">
        <v>14</v>
      </c>
      <c r="AL12" s="222">
        <v>15</v>
      </c>
      <c r="AM12" s="56">
        <v>16</v>
      </c>
      <c r="AN12" s="56">
        <v>17</v>
      </c>
      <c r="AO12" s="222">
        <v>18</v>
      </c>
      <c r="AP12" s="222">
        <v>19</v>
      </c>
      <c r="AQ12" s="222">
        <v>20</v>
      </c>
      <c r="AR12" s="222">
        <v>21</v>
      </c>
      <c r="AS12" s="222">
        <v>22</v>
      </c>
      <c r="AT12" s="56">
        <v>23</v>
      </c>
      <c r="AU12" s="56">
        <v>24</v>
      </c>
      <c r="AV12" s="222">
        <v>25</v>
      </c>
      <c r="AW12" s="222">
        <v>26</v>
      </c>
      <c r="AX12" s="222">
        <v>27</v>
      </c>
      <c r="AY12" s="222">
        <v>28</v>
      </c>
      <c r="AZ12" s="182">
        <v>29</v>
      </c>
      <c r="BA12" s="56">
        <v>30</v>
      </c>
      <c r="BB12" s="56">
        <v>31</v>
      </c>
      <c r="BC12" s="164" t="str">
        <f>IF($B$2="BG","Утежнение за позиция в блок/две реклами в блок","Surcharge in the block/two ad unit")</f>
        <v>Утежнение за позиция в блок/две реклами в блок</v>
      </c>
      <c r="BD12" s="164" t="str">
        <f>IF($B$2="BG","Утежнение за съвместна реклама","Co-Ad surcharge")</f>
        <v>Утежнение за съвместна реклама</v>
      </c>
      <c r="BE12" s="164" t="s">
        <v>45</v>
      </c>
      <c r="BF12" s="164" t="str">
        <f>IF($B$2="BG","Цена за
клип/СЗ/ПР
без утежнения","Price for spot/ST/PR without surcharge")</f>
        <v>Цена за
клип/СЗ/ПР
без утежнения</v>
      </c>
      <c r="BG12" s="164" t="str">
        <f>IF($B$2="BG","Цена с утежнения за позиция и марка","Price with surcharge for Position and Brand")</f>
        <v>Цена с утежнения за позиция и марка</v>
      </c>
      <c r="BH12" s="164" t="str">
        <f>IF($B$2="BG","Утежнения за позиция и марка","Price surcharge for Position and Brand")</f>
        <v>Утежнения за позиция и марка</v>
      </c>
      <c r="BI12" s="164" t="str">
        <f>IF($B$2="BG","Утежнения закъснение","Surcharge for Delay")</f>
        <v>Утежнения закъснение</v>
      </c>
      <c r="BJ12" s="164" t="str">
        <f>IF($B$2="BG","Общо утежнение","Total Surcharge")</f>
        <v>Общо утежнение</v>
      </c>
      <c r="BL12" s="83" t="s">
        <v>0</v>
      </c>
      <c r="BM12" s="83" t="s">
        <v>1</v>
      </c>
      <c r="BN12" s="83" t="s">
        <v>2</v>
      </c>
      <c r="BO12" s="83" t="s">
        <v>3</v>
      </c>
      <c r="BP12" s="83" t="s">
        <v>4</v>
      </c>
      <c r="BQ12" s="83" t="s">
        <v>5</v>
      </c>
    </row>
    <row r="13" spans="1:69" ht="12.75" customHeight="1">
      <c r="A13" s="133"/>
      <c r="B13" s="134"/>
      <c r="C13" s="135"/>
      <c r="D13" s="136"/>
      <c r="E13" s="137">
        <f>IF(D13="","",ABS(LEFT(D13,2)))</f>
      </c>
      <c r="F13" s="137">
        <f>IF(D13="","",IF((E13&gt;=19)*(E13&lt;22),"PT","OPT"))</f>
      </c>
      <c r="G13" s="185"/>
      <c r="H13" s="138">
        <f>SUMIF(time100,D13,data!$M$16:$M$21)</f>
        <v>0</v>
      </c>
      <c r="I13" s="139">
        <f>COUNTA(X13:BB13)</f>
        <v>0</v>
      </c>
      <c r="J13" s="248">
        <f aca="true" t="shared" si="1" ref="J13:J44">(K13*L13+M13*N13+O13*P13+Q13*R13+S13*T13+U13*V13)*W13</f>
        <v>0</v>
      </c>
      <c r="K13" s="14" t="b">
        <f>IF($I$4="Да/Yes",0,IF(G13="Spons tag",H13/2,IF(G13="Spot",$G$4*H13,IF(G13="Paid report",H13*$G$4*1,IF(AND(G13="Cut-in",$G$4&lt;=10),H13*0.7,IF(G13="Break ID with VO 7+7",H13*1.2,IF(AND(G13="Spons promo",$G$4&lt;=10),H13/2,IF(G13="Break ID 7+7",H13))))))))</f>
        <v>0</v>
      </c>
      <c r="L13" s="12">
        <f>COUNTIF(X13:BB13,$E$4)</f>
        <v>0</v>
      </c>
      <c r="M13" s="14" t="b">
        <f>IF($I$5="Да/Yes",0,IF(G13="Spons tag",H13/2,IF(G13="Spot",$G$5*H13,IF(G13="Paid report",H13*$G$5*1,IF(AND(G13="Cut-in",$G$5&lt;=10),H13*0.7,IF(G13="Break ID with VO 7+7",H13*1.2,IF(AND(G13="Spons promo",$G$5&lt;=10),H13/2,IF(G13="Break ID 7+7",H13))))))))</f>
        <v>0</v>
      </c>
      <c r="N13" s="12">
        <f>COUNTIF(X13:BB13,$E$5)</f>
        <v>0</v>
      </c>
      <c r="O13" s="14" t="b">
        <f>IF($I$6="Да/Yes",0,IF(G13="Spons tag",H13/2,IF(G13="Spot",$G$6*H13,IF(G13="Paid report",H13*$G$6*1,IF(AND(G13="Cut-in",$G$6&lt;=10),H13*0.7,IF(G13="Break ID with VO 7+7",H13*1.2,IF(AND(G13="Spons promo",$G$6&lt;=10),H13/2,IF(G13="Break ID 7+7",H13))))))))</f>
        <v>0</v>
      </c>
      <c r="P13" s="12">
        <f>COUNTIF(X13:BB13,$E$6)</f>
        <v>0</v>
      </c>
      <c r="Q13" s="14" t="b">
        <f>IF($I$7="Да/Yes",0,IF(G13="Spons tag",H13/2,IF(G13="Spot",$G$7*H13,IF(G13="Paid report",H13*$G$7*1,IF(AND(G13="Cut-in",$G$7&lt;=10),H13*0.7,IF(G13="Break ID with VO 7+7",H13*1.2,IF(AND(G13="Spons promo",$G$7&lt;=10),H13/2,IF(G13="Break ID 7+7",H13))))))))</f>
        <v>0</v>
      </c>
      <c r="R13" s="12">
        <f>COUNTIF(X13:BB13,$E$7)</f>
        <v>0</v>
      </c>
      <c r="S13" s="14" t="b">
        <f>IF($X$8="Да/Yes",0,IF(G13="Spons tag",H13/2,IF(G13="Spot",$G$8*H13,IF(G13="Paid report",H13*$G$8*1,IF(AND(G13="Cut-in",$G$8&lt;=10),H13*0.7,IF(G13="Break ID with VO 7+7",H13*1.2,IF(AND(G13="Spons promo",$G$8&lt;=10),H13/2,IF(G13="Break ID 7+7",H13))))))))</f>
        <v>0</v>
      </c>
      <c r="T13" s="12">
        <f>COUNTIF(X13:BB13,$E$8)</f>
        <v>0</v>
      </c>
      <c r="U13" s="14" t="b">
        <f>IF($X$9="Да/Yes",0,IF(G13="Spons tag",H13/2,IF(G13="Spot",$G$9*H13,IF(G13="Paid report",H13*$G$9*1,IF(AND(G13="Cut-in",$G$9&lt;=10),H13*0.7,IF(G13="Break ID with VO 7+7",H13*1.2,IF(AND(G13="Spons promo",$G$9&lt;=10),H13/2,IF(G13="Break ID 7+7",H13))))))))</f>
        <v>0</v>
      </c>
      <c r="V13" s="12">
        <f>COUNTIF(X13:BB13,$E$9)</f>
        <v>0</v>
      </c>
      <c r="W13" s="13">
        <f>IF(BC13="",1,VLOOKUP(BC13,data!$C$3:$D$10,2,FALSE))*(1+BD13)</f>
        <v>1</v>
      </c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1"/>
      <c r="BD13" s="8"/>
      <c r="BE13" s="8"/>
      <c r="BF13" s="6">
        <f>IF(I13=0,0,(K13*L13+M13*N13+O13*P13+Q13*R13+S13*T13+U13*V13)/I13)</f>
        <v>0</v>
      </c>
      <c r="BG13" s="6">
        <f>IF(I13=0,0,J13/I13)</f>
        <v>0</v>
      </c>
      <c r="BH13" s="6">
        <f>IF((BG13-BF13)&gt;0,(BG13-BF13)*I13,0)</f>
        <v>0</v>
      </c>
      <c r="BI13" s="6">
        <f>BE13*BG13</f>
        <v>0</v>
      </c>
      <c r="BJ13" s="6">
        <f>BH13+BI13</f>
        <v>0</v>
      </c>
      <c r="BL13" s="87">
        <f>((COUNTIF(X13:Z13,"A")*K13)+(COUNTIF(X13:Z13,"B")*M13)+(COUNTIF(X13:Z13,"C")*O13)+(COUNTIF(X13:Z13,"D")*Q13)+(COUNTIF(X13:Z13,"E")*S13)+(COUNTIF(X13:Z13,"F")*U13))*W13</f>
        <v>0</v>
      </c>
      <c r="BM13" s="87">
        <f>((COUNTIF(AA13:AG13,"A")*K13)+(COUNTIF(AA13:AG13,"B")*M13)+(COUNTIF(AA13:AG13,"C")*O13)+(COUNTIF(AA13:AG13,"D")*Q13)+(COUNTIF(AA13:AG13,"E")*S13)+(COUNTIF(AA13:AG13,"F")*U13))*W13</f>
        <v>0</v>
      </c>
      <c r="BN13" s="87">
        <f>((COUNTIF(AH13:AN13,"A")*K13)+(COUNTIF(AH13:AN13,"B")*M13)+(COUNTIF(AH13:AN13,"C")*O13)+(COUNTIF(AH13:AN13,"D")*Q13)+(COUNTIF(AH13:AN13,"E")*S13)++(COUNTIF(AH13:AN13,"F")*U13))*W13</f>
        <v>0</v>
      </c>
      <c r="BO13" s="87">
        <f>((COUNTIF(AO13:AU13,"A")*K13)+(COUNTIF(AO13:AU13,"B")*M13)+(COUNTIF(AO13:AU13,"C")*O13)+(COUNTIF(AO13:AU13,"D")*Q13)+(COUNTIF(AO13:AU13,"E")*S13)++(COUNTIF(AO13:AU13,"F")*U13))*W13</f>
        <v>0</v>
      </c>
      <c r="BP13" s="87">
        <f>((COUNTIF(AV13:BB13,"A")*K13)+(COUNTIF(AV13:BB13,"B")*M13)+(COUNTIF(AV13:BB13,"C")*O13)+(COUNTIF(AV13:BB13,"D")*Q13)+(COUNTIF(AV13:BB13,"E")*S13)+(COUNTIF(AV13:BB13,"F")*U13))*W13</f>
        <v>0</v>
      </c>
      <c r="BQ13" s="87">
        <f>((COUNTIF(BB13,"A")*K13)+(COUNTIF(BB13,"B")*M13)+(COUNTIF(BB13,"C")*O13)+(COUNTIF(BB13,"D")*Q13)+(COUNTIF(BB13,"E")*S13)+(COUNTIF(BB13,"F")*U13))*W13</f>
        <v>0</v>
      </c>
    </row>
    <row r="14" spans="1:69" ht="12.75" customHeight="1">
      <c r="A14" s="133"/>
      <c r="B14" s="134"/>
      <c r="C14" s="135"/>
      <c r="D14" s="136"/>
      <c r="E14" s="137">
        <f aca="true" t="shared" si="2" ref="E14:E44">IF(D14="","",ABS(LEFT(D14,2)))</f>
      </c>
      <c r="F14" s="137">
        <f aca="true" t="shared" si="3" ref="F14:F44">IF(D14="","",IF((E14&gt;=19)*(E14&lt;22),"PT","OPT"))</f>
      </c>
      <c r="G14" s="185"/>
      <c r="H14" s="138">
        <f>SUMIF(time100,D14,data!$M$16:$M$21)</f>
        <v>0</v>
      </c>
      <c r="I14" s="139">
        <f aca="true" t="shared" si="4" ref="I14:I44">COUNTA(X14:BB14)</f>
        <v>0</v>
      </c>
      <c r="J14" s="248">
        <f t="shared" si="1"/>
        <v>0</v>
      </c>
      <c r="K14" s="14" t="b">
        <f aca="true" t="shared" si="5" ref="K14:K44">IF($I$4="Да/Yes",0,IF(G14="Spons tag",H14/2,IF(G14="Spot",$G$4*H14,IF(G14="Paid report",H14*$G$4*1,IF(AND(G14="Cut-in",$G$4&lt;=10),H14*0.7,IF(G14="Break ID with VO 7+7",H14*1.2,IF(AND(G14="Spons promo",$G$4&lt;=10),H14/2,IF(G14="Break ID 7+7",H14))))))))</f>
        <v>0</v>
      </c>
      <c r="L14" s="12">
        <f aca="true" t="shared" si="6" ref="L14:L44">COUNTIF(X14:BB14,$E$4)</f>
        <v>0</v>
      </c>
      <c r="M14" s="14" t="b">
        <f aca="true" t="shared" si="7" ref="M14:M44">IF($I$5="Да/Yes",0,IF(G14="Spons tag",H14/2,IF(G14="Spot",$G$5*H14,IF(G14="Paid report",H14*$G$5*1,IF(AND(G14="Cut-in",$G$5&lt;=10),H14*0.7,IF(G14="Break ID with VO 7+7",H14*1.2,IF(AND(G14="Spons promo",$G$5&lt;=10),H14/2,IF(G14="Break ID 7+7",H14))))))))</f>
        <v>0</v>
      </c>
      <c r="N14" s="12">
        <f aca="true" t="shared" si="8" ref="N14:N44">COUNTIF(X14:BB14,$E$5)</f>
        <v>0</v>
      </c>
      <c r="O14" s="14" t="b">
        <f aca="true" t="shared" si="9" ref="O14:O45">IF($I$6="Да/Yes",0,IF(G14="Spons tag",H14/2,IF(G14="Spot",$G$6*H14,IF(G14="Paid report",H14*$G$6*1,IF(AND(G14="Cut-in",$G$6&lt;=10),H14*0.7,IF(G14="Break ID with VO 7+7",H14*1.2,IF(AND(G14="Spons promo",$G$6&lt;=10),H14/2,IF(G14="Break ID 7+7",H14))))))))</f>
        <v>0</v>
      </c>
      <c r="P14" s="12">
        <f aca="true" t="shared" si="10" ref="P14:P44">COUNTIF(X14:BB14,$E$6)</f>
        <v>0</v>
      </c>
      <c r="Q14" s="14" t="b">
        <f aca="true" t="shared" si="11" ref="Q14:Q45">IF($I$7="Да/Yes",0,IF(G14="Spons tag",H14/2,IF(G14="Spot",$G$7*H14,IF(G14="Paid report",H14*$G$7*1,IF(AND(G14="Cut-in",$G$7&lt;=10),H14*0.7,IF(G14="Break ID with VO 7+7",H14*1.2,IF(AND(G14="Spons promo",$G$7&lt;=10),H14/2,IF(G14="Break ID 7+7",H14))))))))</f>
        <v>0</v>
      </c>
      <c r="R14" s="12">
        <f aca="true" t="shared" si="12" ref="R14:R44">COUNTIF(X14:BB14,$E$7)</f>
        <v>0</v>
      </c>
      <c r="S14" s="14" t="b">
        <f aca="true" t="shared" si="13" ref="S14:S44">IF($X$8="Да/Yes",0,IF(G14="Spons tag",H14/2,IF(G14="Spot",$G$8*H14,IF(G14="Paid report",H14*$G$8*1,IF(AND(G14="Cut-in",$G$8&lt;=10),H14*0.7,IF(G14="Break ID with VO 7+7",H14*1.2,IF(AND(G14="Spons promo",$G$8&lt;=10),H14/2,IF(G14="Break ID 7+7",H14))))))))</f>
        <v>0</v>
      </c>
      <c r="T14" s="12">
        <f aca="true" t="shared" si="14" ref="T14:T45">COUNTIF(X14:BB14,$E$8)</f>
        <v>0</v>
      </c>
      <c r="U14" s="14" t="b">
        <f aca="true" t="shared" si="15" ref="U14:U44">IF($X$9="Да/Yes",0,IF(G14="Spons tag",H14/2,IF(G14="Spot",$G$9*H14,IF(G14="Paid report",H14*$G$9*1,IF(AND(G14="Cut-in",$G$9&lt;=10),H14*0.7,IF(G14="Break ID with VO 7+7",H14*1.2,IF(AND(G14="Spons promo",$G$9&lt;=10),H14/2,IF(G14="Break ID 7+7",H14))))))))</f>
        <v>0</v>
      </c>
      <c r="V14" s="12">
        <f aca="true" t="shared" si="16" ref="V14:V44">COUNTIF(X14:BB14,$E$9)</f>
        <v>0</v>
      </c>
      <c r="W14" s="179">
        <f>IF(BC14="",1,VLOOKUP(BC14,data!$C$3:$D$10,2,FALSE))*(1+BD14)</f>
        <v>1</v>
      </c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1"/>
      <c r="BD14" s="8"/>
      <c r="BE14" s="8"/>
      <c r="BF14" s="6">
        <f aca="true" t="shared" si="17" ref="BF14:BF44">IF(I14=0,0,(K14*L14+M14*N14+O14*P14+Q14*R14+S14*T14+U14*V14)/I14)</f>
        <v>0</v>
      </c>
      <c r="BG14" s="6">
        <f aca="true" t="shared" si="18" ref="BG14:BG44">IF(I14=0,0,J14/I14)</f>
        <v>0</v>
      </c>
      <c r="BH14" s="6">
        <f aca="true" t="shared" si="19" ref="BH14:BH44">IF((BG14-BF14)&gt;0,(BG14-BF14)*I14,0)</f>
        <v>0</v>
      </c>
      <c r="BI14" s="6">
        <f aca="true" t="shared" si="20" ref="BI14:BI44">BE14*BG14</f>
        <v>0</v>
      </c>
      <c r="BJ14" s="6">
        <f aca="true" t="shared" si="21" ref="BJ14:BJ44">BH14+BI14</f>
        <v>0</v>
      </c>
      <c r="BL14" s="87">
        <f aca="true" t="shared" si="22" ref="BL14:BL44">((COUNTIF(X14:Z14,"A")*K14)+(COUNTIF(X14:Z14,"B")*M14)+(COUNTIF(X14:Z14,"C")*O14)+(COUNTIF(X14:Z14,"D")*Q14)+(COUNTIF(X14:Z14,"E")*S14)+(COUNTIF(X14:Z14,"F")*U14))*W14</f>
        <v>0</v>
      </c>
      <c r="BM14" s="87">
        <f aca="true" t="shared" si="23" ref="BM14:BM44">((COUNTIF(AA14:AG14,"A")*K14)+(COUNTIF(AA14:AG14,"B")*M14)+(COUNTIF(AA14:AG14,"C")*O14)+(COUNTIF(AA14:AG14,"D")*Q14)+(COUNTIF(AA14:AG14,"E")*S14)+(COUNTIF(AA14:AG14,"F")*U14))*W14</f>
        <v>0</v>
      </c>
      <c r="BN14" s="87">
        <f aca="true" t="shared" si="24" ref="BN14:BN44">((COUNTIF(AH14:AN14,"A")*K14)+(COUNTIF(AH14:AN14,"B")*M14)+(COUNTIF(AH14:AN14,"C")*O14)+(COUNTIF(AH14:AN14,"D")*Q14)+(COUNTIF(AH14:AN14,"E")*S14)++(COUNTIF(AH14:AN14,"F")*U14))*W14</f>
        <v>0</v>
      </c>
      <c r="BO14" s="87">
        <f aca="true" t="shared" si="25" ref="BO14:BO44">((COUNTIF(AO14:AU14,"A")*K14)+(COUNTIF(AO14:AU14,"B")*M14)+(COUNTIF(AO14:AU14,"C")*O14)+(COUNTIF(AO14:AU14,"D")*Q14)+(COUNTIF(AO14:AU14,"E")*S14)++(COUNTIF(AO14:AU14,"F")*U14))*W14</f>
        <v>0</v>
      </c>
      <c r="BP14" s="87">
        <f aca="true" t="shared" si="26" ref="BP14:BP44">((COUNTIF(AV14:BB14,"A")*K14)+(COUNTIF(AV14:BB14,"B")*M14)+(COUNTIF(AV14:BB14,"C")*O14)+(COUNTIF(AV14:BB14,"D")*Q14)+(COUNTIF(AV14:BB14,"E")*S14)+(COUNTIF(AV14:BB14,"F")*U14))*W14</f>
        <v>0</v>
      </c>
      <c r="BQ14" s="87">
        <f aca="true" t="shared" si="27" ref="BQ14:BQ44">((COUNTIF(BB14,"A")*K14)+(COUNTIF(BB14,"B")*M14)+(COUNTIF(BB14,"C")*O14)+(COUNTIF(BB14,"D")*Q14)+(COUNTIF(BB14,"E")*S14)+(COUNTIF(BB14,"F")*U14))*W14</f>
        <v>0</v>
      </c>
    </row>
    <row r="15" spans="1:69" ht="12.75" customHeight="1">
      <c r="A15" s="133"/>
      <c r="B15" s="134"/>
      <c r="C15" s="135"/>
      <c r="D15" s="136"/>
      <c r="E15" s="137">
        <f t="shared" si="2"/>
      </c>
      <c r="F15" s="137">
        <f t="shared" si="3"/>
      </c>
      <c r="G15" s="185"/>
      <c r="H15" s="138">
        <f>SUMIF(time100,D15,data!$M$16:$M$21)</f>
        <v>0</v>
      </c>
      <c r="I15" s="139">
        <f t="shared" si="4"/>
        <v>0</v>
      </c>
      <c r="J15" s="248">
        <f t="shared" si="1"/>
        <v>0</v>
      </c>
      <c r="K15" s="14" t="b">
        <f t="shared" si="5"/>
        <v>0</v>
      </c>
      <c r="L15" s="12">
        <f t="shared" si="6"/>
        <v>0</v>
      </c>
      <c r="M15" s="14" t="b">
        <f t="shared" si="7"/>
        <v>0</v>
      </c>
      <c r="N15" s="12">
        <f t="shared" si="8"/>
        <v>0</v>
      </c>
      <c r="O15" s="14" t="b">
        <f t="shared" si="9"/>
        <v>0</v>
      </c>
      <c r="P15" s="12">
        <f t="shared" si="10"/>
        <v>0</v>
      </c>
      <c r="Q15" s="14" t="b">
        <f t="shared" si="11"/>
        <v>0</v>
      </c>
      <c r="R15" s="12">
        <f t="shared" si="12"/>
        <v>0</v>
      </c>
      <c r="S15" s="14" t="b">
        <f t="shared" si="13"/>
        <v>0</v>
      </c>
      <c r="T15" s="12">
        <f t="shared" si="14"/>
        <v>0</v>
      </c>
      <c r="U15" s="14" t="b">
        <f t="shared" si="15"/>
        <v>0</v>
      </c>
      <c r="V15" s="12">
        <f t="shared" si="16"/>
        <v>0</v>
      </c>
      <c r="W15" s="179">
        <f>IF(BC15="",1,VLOOKUP(BC15,data!$C$3:$D$10,2,FALSE))*(1+BD15)</f>
        <v>1</v>
      </c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1"/>
      <c r="BD15" s="8"/>
      <c r="BE15" s="8"/>
      <c r="BF15" s="6">
        <f t="shared" si="17"/>
        <v>0</v>
      </c>
      <c r="BG15" s="6">
        <f t="shared" si="18"/>
        <v>0</v>
      </c>
      <c r="BH15" s="6">
        <f t="shared" si="19"/>
        <v>0</v>
      </c>
      <c r="BI15" s="6">
        <f t="shared" si="20"/>
        <v>0</v>
      </c>
      <c r="BJ15" s="6">
        <f t="shared" si="21"/>
        <v>0</v>
      </c>
      <c r="BL15" s="87">
        <f t="shared" si="22"/>
        <v>0</v>
      </c>
      <c r="BM15" s="87">
        <f t="shared" si="23"/>
        <v>0</v>
      </c>
      <c r="BN15" s="87">
        <f t="shared" si="24"/>
        <v>0</v>
      </c>
      <c r="BO15" s="87">
        <f t="shared" si="25"/>
        <v>0</v>
      </c>
      <c r="BP15" s="87">
        <f t="shared" si="26"/>
        <v>0</v>
      </c>
      <c r="BQ15" s="87">
        <f t="shared" si="27"/>
        <v>0</v>
      </c>
    </row>
    <row r="16" spans="1:69" ht="12.75" customHeight="1">
      <c r="A16" s="133"/>
      <c r="B16" s="134"/>
      <c r="C16" s="135"/>
      <c r="D16" s="136"/>
      <c r="E16" s="137">
        <f t="shared" si="2"/>
      </c>
      <c r="F16" s="137">
        <f t="shared" si="3"/>
      </c>
      <c r="G16" s="185"/>
      <c r="H16" s="138">
        <f>SUMIF(time100,D16,data!$M$16:$M$21)</f>
        <v>0</v>
      </c>
      <c r="I16" s="139">
        <f t="shared" si="4"/>
        <v>0</v>
      </c>
      <c r="J16" s="248">
        <f t="shared" si="1"/>
        <v>0</v>
      </c>
      <c r="K16" s="14" t="b">
        <f t="shared" si="5"/>
        <v>0</v>
      </c>
      <c r="L16" s="12">
        <f t="shared" si="6"/>
        <v>0</v>
      </c>
      <c r="M16" s="14" t="b">
        <f t="shared" si="7"/>
        <v>0</v>
      </c>
      <c r="N16" s="12">
        <f t="shared" si="8"/>
        <v>0</v>
      </c>
      <c r="O16" s="14" t="b">
        <f t="shared" si="9"/>
        <v>0</v>
      </c>
      <c r="P16" s="12">
        <f t="shared" si="10"/>
        <v>0</v>
      </c>
      <c r="Q16" s="14" t="b">
        <f t="shared" si="11"/>
        <v>0</v>
      </c>
      <c r="R16" s="12">
        <f t="shared" si="12"/>
        <v>0</v>
      </c>
      <c r="S16" s="14" t="b">
        <f t="shared" si="13"/>
        <v>0</v>
      </c>
      <c r="T16" s="12">
        <f t="shared" si="14"/>
        <v>0</v>
      </c>
      <c r="U16" s="14" t="b">
        <f t="shared" si="15"/>
        <v>0</v>
      </c>
      <c r="V16" s="12">
        <f t="shared" si="16"/>
        <v>0</v>
      </c>
      <c r="W16" s="179">
        <f>IF(BC16="",1,VLOOKUP(BC16,data!$C$3:$D$10,2,FALSE))*(1+BD16)</f>
        <v>1</v>
      </c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1"/>
      <c r="BD16" s="8"/>
      <c r="BE16" s="8"/>
      <c r="BF16" s="6">
        <f t="shared" si="17"/>
        <v>0</v>
      </c>
      <c r="BG16" s="6">
        <f t="shared" si="18"/>
        <v>0</v>
      </c>
      <c r="BH16" s="6">
        <f t="shared" si="19"/>
        <v>0</v>
      </c>
      <c r="BI16" s="6">
        <f t="shared" si="20"/>
        <v>0</v>
      </c>
      <c r="BJ16" s="6">
        <f t="shared" si="21"/>
        <v>0</v>
      </c>
      <c r="BL16" s="87">
        <f t="shared" si="22"/>
        <v>0</v>
      </c>
      <c r="BM16" s="87">
        <f t="shared" si="23"/>
        <v>0</v>
      </c>
      <c r="BN16" s="87">
        <f t="shared" si="24"/>
        <v>0</v>
      </c>
      <c r="BO16" s="87">
        <f t="shared" si="25"/>
        <v>0</v>
      </c>
      <c r="BP16" s="87">
        <f t="shared" si="26"/>
        <v>0</v>
      </c>
      <c r="BQ16" s="87">
        <f t="shared" si="27"/>
        <v>0</v>
      </c>
    </row>
    <row r="17" spans="1:69" ht="12.75" customHeight="1">
      <c r="A17" s="133"/>
      <c r="B17" s="134"/>
      <c r="C17" s="135"/>
      <c r="D17" s="136"/>
      <c r="E17" s="137">
        <f t="shared" si="2"/>
      </c>
      <c r="F17" s="137">
        <f t="shared" si="3"/>
      </c>
      <c r="G17" s="185"/>
      <c r="H17" s="138">
        <f>SUMIF(time100,D17,data!$M$16:$M$21)</f>
        <v>0</v>
      </c>
      <c r="I17" s="139">
        <f t="shared" si="4"/>
        <v>0</v>
      </c>
      <c r="J17" s="248">
        <f t="shared" si="1"/>
        <v>0</v>
      </c>
      <c r="K17" s="14" t="b">
        <f t="shared" si="5"/>
        <v>0</v>
      </c>
      <c r="L17" s="12">
        <f t="shared" si="6"/>
        <v>0</v>
      </c>
      <c r="M17" s="14" t="b">
        <f t="shared" si="7"/>
        <v>0</v>
      </c>
      <c r="N17" s="12">
        <f t="shared" si="8"/>
        <v>0</v>
      </c>
      <c r="O17" s="14" t="b">
        <f t="shared" si="9"/>
        <v>0</v>
      </c>
      <c r="P17" s="12">
        <f t="shared" si="10"/>
        <v>0</v>
      </c>
      <c r="Q17" s="14" t="b">
        <f t="shared" si="11"/>
        <v>0</v>
      </c>
      <c r="R17" s="12">
        <f t="shared" si="12"/>
        <v>0</v>
      </c>
      <c r="S17" s="14" t="b">
        <f t="shared" si="13"/>
        <v>0</v>
      </c>
      <c r="T17" s="12">
        <f t="shared" si="14"/>
        <v>0</v>
      </c>
      <c r="U17" s="14" t="b">
        <f t="shared" si="15"/>
        <v>0</v>
      </c>
      <c r="V17" s="12">
        <f t="shared" si="16"/>
        <v>0</v>
      </c>
      <c r="W17" s="179">
        <f>IF(BC17="",1,VLOOKUP(BC17,data!$C$3:$D$10,2,FALSE))*(1+BD17)</f>
        <v>1</v>
      </c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1"/>
      <c r="BD17" s="8"/>
      <c r="BE17" s="8"/>
      <c r="BF17" s="6">
        <f t="shared" si="17"/>
        <v>0</v>
      </c>
      <c r="BG17" s="6">
        <f t="shared" si="18"/>
        <v>0</v>
      </c>
      <c r="BH17" s="6">
        <f t="shared" si="19"/>
        <v>0</v>
      </c>
      <c r="BI17" s="6">
        <f t="shared" si="20"/>
        <v>0</v>
      </c>
      <c r="BJ17" s="6">
        <f t="shared" si="21"/>
        <v>0</v>
      </c>
      <c r="BL17" s="87">
        <f t="shared" si="22"/>
        <v>0</v>
      </c>
      <c r="BM17" s="87">
        <f t="shared" si="23"/>
        <v>0</v>
      </c>
      <c r="BN17" s="87">
        <f t="shared" si="24"/>
        <v>0</v>
      </c>
      <c r="BO17" s="87">
        <f t="shared" si="25"/>
        <v>0</v>
      </c>
      <c r="BP17" s="87">
        <f t="shared" si="26"/>
        <v>0</v>
      </c>
      <c r="BQ17" s="87">
        <f t="shared" si="27"/>
        <v>0</v>
      </c>
    </row>
    <row r="18" spans="1:69" ht="12.75" customHeight="1">
      <c r="A18" s="133"/>
      <c r="B18" s="134"/>
      <c r="C18" s="135"/>
      <c r="D18" s="136"/>
      <c r="E18" s="137">
        <f t="shared" si="2"/>
      </c>
      <c r="F18" s="137">
        <f t="shared" si="3"/>
      </c>
      <c r="G18" s="185"/>
      <c r="H18" s="138">
        <f>SUMIF(time100,D18,data!$M$16:$M$21)</f>
        <v>0</v>
      </c>
      <c r="I18" s="139">
        <f t="shared" si="4"/>
        <v>0</v>
      </c>
      <c r="J18" s="248">
        <f t="shared" si="1"/>
        <v>0</v>
      </c>
      <c r="K18" s="14" t="b">
        <f t="shared" si="5"/>
        <v>0</v>
      </c>
      <c r="L18" s="12">
        <f t="shared" si="6"/>
        <v>0</v>
      </c>
      <c r="M18" s="14" t="b">
        <f t="shared" si="7"/>
        <v>0</v>
      </c>
      <c r="N18" s="12">
        <f t="shared" si="8"/>
        <v>0</v>
      </c>
      <c r="O18" s="14" t="b">
        <f t="shared" si="9"/>
        <v>0</v>
      </c>
      <c r="P18" s="12">
        <f t="shared" si="10"/>
        <v>0</v>
      </c>
      <c r="Q18" s="14" t="b">
        <f t="shared" si="11"/>
        <v>0</v>
      </c>
      <c r="R18" s="12">
        <f t="shared" si="12"/>
        <v>0</v>
      </c>
      <c r="S18" s="14" t="b">
        <f t="shared" si="13"/>
        <v>0</v>
      </c>
      <c r="T18" s="12">
        <f t="shared" si="14"/>
        <v>0</v>
      </c>
      <c r="U18" s="14" t="b">
        <f t="shared" si="15"/>
        <v>0</v>
      </c>
      <c r="V18" s="12">
        <f t="shared" si="16"/>
        <v>0</v>
      </c>
      <c r="W18" s="179">
        <f>IF(BC18="",1,VLOOKUP(BC18,data!$C$3:$D$10,2,FALSE))*(1+BD18)</f>
        <v>1</v>
      </c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1"/>
      <c r="BD18" s="8"/>
      <c r="BE18" s="8"/>
      <c r="BF18" s="6">
        <f t="shared" si="17"/>
        <v>0</v>
      </c>
      <c r="BG18" s="6">
        <f t="shared" si="18"/>
        <v>0</v>
      </c>
      <c r="BH18" s="6">
        <f t="shared" si="19"/>
        <v>0</v>
      </c>
      <c r="BI18" s="6">
        <f t="shared" si="20"/>
        <v>0</v>
      </c>
      <c r="BJ18" s="6">
        <f t="shared" si="21"/>
        <v>0</v>
      </c>
      <c r="BL18" s="87">
        <f t="shared" si="22"/>
        <v>0</v>
      </c>
      <c r="BM18" s="87">
        <f t="shared" si="23"/>
        <v>0</v>
      </c>
      <c r="BN18" s="87">
        <f t="shared" si="24"/>
        <v>0</v>
      </c>
      <c r="BO18" s="87">
        <f t="shared" si="25"/>
        <v>0</v>
      </c>
      <c r="BP18" s="87">
        <f t="shared" si="26"/>
        <v>0</v>
      </c>
      <c r="BQ18" s="87">
        <f t="shared" si="27"/>
        <v>0</v>
      </c>
    </row>
    <row r="19" spans="1:69" ht="12.75" customHeight="1">
      <c r="A19" s="133"/>
      <c r="B19" s="134"/>
      <c r="C19" s="135"/>
      <c r="D19" s="136"/>
      <c r="E19" s="137">
        <f t="shared" si="2"/>
      </c>
      <c r="F19" s="137">
        <f t="shared" si="3"/>
      </c>
      <c r="G19" s="185"/>
      <c r="H19" s="138">
        <f>SUMIF(time100,D19,data!$M$16:$M$21)</f>
        <v>0</v>
      </c>
      <c r="I19" s="139">
        <f t="shared" si="4"/>
        <v>0</v>
      </c>
      <c r="J19" s="248">
        <f t="shared" si="1"/>
        <v>0</v>
      </c>
      <c r="K19" s="14" t="b">
        <f t="shared" si="5"/>
        <v>0</v>
      </c>
      <c r="L19" s="12">
        <f t="shared" si="6"/>
        <v>0</v>
      </c>
      <c r="M19" s="14" t="b">
        <f t="shared" si="7"/>
        <v>0</v>
      </c>
      <c r="N19" s="12">
        <f t="shared" si="8"/>
        <v>0</v>
      </c>
      <c r="O19" s="14" t="b">
        <f t="shared" si="9"/>
        <v>0</v>
      </c>
      <c r="P19" s="12">
        <f t="shared" si="10"/>
        <v>0</v>
      </c>
      <c r="Q19" s="14" t="b">
        <f t="shared" si="11"/>
        <v>0</v>
      </c>
      <c r="R19" s="12">
        <f t="shared" si="12"/>
        <v>0</v>
      </c>
      <c r="S19" s="14" t="b">
        <f t="shared" si="13"/>
        <v>0</v>
      </c>
      <c r="T19" s="12">
        <f t="shared" si="14"/>
        <v>0</v>
      </c>
      <c r="U19" s="14" t="b">
        <f t="shared" si="15"/>
        <v>0</v>
      </c>
      <c r="V19" s="12">
        <f t="shared" si="16"/>
        <v>0</v>
      </c>
      <c r="W19" s="179">
        <f>IF(BC19="",1,VLOOKUP(BC19,data!$C$3:$D$10,2,FALSE))*(1+BD19)</f>
        <v>1</v>
      </c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1"/>
      <c r="BD19" s="8"/>
      <c r="BE19" s="8"/>
      <c r="BF19" s="6">
        <f t="shared" si="17"/>
        <v>0</v>
      </c>
      <c r="BG19" s="6">
        <f t="shared" si="18"/>
        <v>0</v>
      </c>
      <c r="BH19" s="6">
        <f t="shared" si="19"/>
        <v>0</v>
      </c>
      <c r="BI19" s="6">
        <f t="shared" si="20"/>
        <v>0</v>
      </c>
      <c r="BJ19" s="6">
        <f t="shared" si="21"/>
        <v>0</v>
      </c>
      <c r="BL19" s="87">
        <f t="shared" si="22"/>
        <v>0</v>
      </c>
      <c r="BM19" s="87">
        <f t="shared" si="23"/>
        <v>0</v>
      </c>
      <c r="BN19" s="87">
        <f t="shared" si="24"/>
        <v>0</v>
      </c>
      <c r="BO19" s="87">
        <f t="shared" si="25"/>
        <v>0</v>
      </c>
      <c r="BP19" s="87">
        <f t="shared" si="26"/>
        <v>0</v>
      </c>
      <c r="BQ19" s="87">
        <f t="shared" si="27"/>
        <v>0</v>
      </c>
    </row>
    <row r="20" spans="1:69" ht="12.75" customHeight="1">
      <c r="A20" s="133"/>
      <c r="B20" s="134"/>
      <c r="C20" s="135"/>
      <c r="D20" s="136"/>
      <c r="E20" s="137">
        <f t="shared" si="2"/>
      </c>
      <c r="F20" s="137">
        <f t="shared" si="3"/>
      </c>
      <c r="G20" s="185"/>
      <c r="H20" s="138">
        <f>SUMIF(time100,D20,data!$M$16:$M$21)</f>
        <v>0</v>
      </c>
      <c r="I20" s="139">
        <f t="shared" si="4"/>
        <v>0</v>
      </c>
      <c r="J20" s="248">
        <f t="shared" si="1"/>
        <v>0</v>
      </c>
      <c r="K20" s="14" t="b">
        <f t="shared" si="5"/>
        <v>0</v>
      </c>
      <c r="L20" s="12">
        <f t="shared" si="6"/>
        <v>0</v>
      </c>
      <c r="M20" s="14" t="b">
        <f t="shared" si="7"/>
        <v>0</v>
      </c>
      <c r="N20" s="12">
        <f t="shared" si="8"/>
        <v>0</v>
      </c>
      <c r="O20" s="14" t="b">
        <f t="shared" si="9"/>
        <v>0</v>
      </c>
      <c r="P20" s="12">
        <f t="shared" si="10"/>
        <v>0</v>
      </c>
      <c r="Q20" s="14" t="b">
        <f t="shared" si="11"/>
        <v>0</v>
      </c>
      <c r="R20" s="12">
        <f t="shared" si="12"/>
        <v>0</v>
      </c>
      <c r="S20" s="14" t="b">
        <f t="shared" si="13"/>
        <v>0</v>
      </c>
      <c r="T20" s="12">
        <f t="shared" si="14"/>
        <v>0</v>
      </c>
      <c r="U20" s="14" t="b">
        <f t="shared" si="15"/>
        <v>0</v>
      </c>
      <c r="V20" s="12">
        <f t="shared" si="16"/>
        <v>0</v>
      </c>
      <c r="W20" s="179">
        <f>IF(BC20="",1,VLOOKUP(BC20,data!$C$3:$D$10,2,FALSE))*(1+BD20)</f>
        <v>1</v>
      </c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1"/>
      <c r="BD20" s="8"/>
      <c r="BE20" s="8"/>
      <c r="BF20" s="6">
        <f t="shared" si="17"/>
        <v>0</v>
      </c>
      <c r="BG20" s="6">
        <f t="shared" si="18"/>
        <v>0</v>
      </c>
      <c r="BH20" s="6">
        <f t="shared" si="19"/>
        <v>0</v>
      </c>
      <c r="BI20" s="6">
        <f t="shared" si="20"/>
        <v>0</v>
      </c>
      <c r="BJ20" s="6">
        <f t="shared" si="21"/>
        <v>0</v>
      </c>
      <c r="BL20" s="87">
        <f t="shared" si="22"/>
        <v>0</v>
      </c>
      <c r="BM20" s="87">
        <f t="shared" si="23"/>
        <v>0</v>
      </c>
      <c r="BN20" s="87">
        <f t="shared" si="24"/>
        <v>0</v>
      </c>
      <c r="BO20" s="87">
        <f t="shared" si="25"/>
        <v>0</v>
      </c>
      <c r="BP20" s="87">
        <f t="shared" si="26"/>
        <v>0</v>
      </c>
      <c r="BQ20" s="87">
        <f t="shared" si="27"/>
        <v>0</v>
      </c>
    </row>
    <row r="21" spans="1:69" ht="12.75" customHeight="1">
      <c r="A21" s="133"/>
      <c r="B21" s="134"/>
      <c r="C21" s="135"/>
      <c r="D21" s="136"/>
      <c r="E21" s="137">
        <f t="shared" si="2"/>
      </c>
      <c r="F21" s="137">
        <f t="shared" si="3"/>
      </c>
      <c r="G21" s="185"/>
      <c r="H21" s="138">
        <f>SUMIF(time100,D21,data!$M$16:$M$21)</f>
        <v>0</v>
      </c>
      <c r="I21" s="139">
        <f t="shared" si="4"/>
        <v>0</v>
      </c>
      <c r="J21" s="248">
        <f t="shared" si="1"/>
        <v>0</v>
      </c>
      <c r="K21" s="14" t="b">
        <f t="shared" si="5"/>
        <v>0</v>
      </c>
      <c r="L21" s="12">
        <f t="shared" si="6"/>
        <v>0</v>
      </c>
      <c r="M21" s="14" t="b">
        <f t="shared" si="7"/>
        <v>0</v>
      </c>
      <c r="N21" s="12">
        <f t="shared" si="8"/>
        <v>0</v>
      </c>
      <c r="O21" s="14" t="b">
        <f t="shared" si="9"/>
        <v>0</v>
      </c>
      <c r="P21" s="12">
        <f t="shared" si="10"/>
        <v>0</v>
      </c>
      <c r="Q21" s="14" t="b">
        <f t="shared" si="11"/>
        <v>0</v>
      </c>
      <c r="R21" s="12">
        <f t="shared" si="12"/>
        <v>0</v>
      </c>
      <c r="S21" s="14" t="b">
        <f t="shared" si="13"/>
        <v>0</v>
      </c>
      <c r="T21" s="12">
        <f t="shared" si="14"/>
        <v>0</v>
      </c>
      <c r="U21" s="14" t="b">
        <f t="shared" si="15"/>
        <v>0</v>
      </c>
      <c r="V21" s="12">
        <f t="shared" si="16"/>
        <v>0</v>
      </c>
      <c r="W21" s="179">
        <f>IF(BC21="",1,VLOOKUP(BC21,data!$C$3:$D$10,2,FALSE))*(1+BD21)</f>
        <v>1</v>
      </c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1"/>
      <c r="BD21" s="8"/>
      <c r="BE21" s="8"/>
      <c r="BF21" s="6">
        <f t="shared" si="17"/>
        <v>0</v>
      </c>
      <c r="BG21" s="6">
        <f t="shared" si="18"/>
        <v>0</v>
      </c>
      <c r="BH21" s="6">
        <f t="shared" si="19"/>
        <v>0</v>
      </c>
      <c r="BI21" s="6">
        <f t="shared" si="20"/>
        <v>0</v>
      </c>
      <c r="BJ21" s="6">
        <f t="shared" si="21"/>
        <v>0</v>
      </c>
      <c r="BL21" s="87">
        <f t="shared" si="22"/>
        <v>0</v>
      </c>
      <c r="BM21" s="87">
        <f t="shared" si="23"/>
        <v>0</v>
      </c>
      <c r="BN21" s="87">
        <f t="shared" si="24"/>
        <v>0</v>
      </c>
      <c r="BO21" s="87">
        <f t="shared" si="25"/>
        <v>0</v>
      </c>
      <c r="BP21" s="87">
        <f t="shared" si="26"/>
        <v>0</v>
      </c>
      <c r="BQ21" s="87">
        <f t="shared" si="27"/>
        <v>0</v>
      </c>
    </row>
    <row r="22" spans="1:69" ht="12.75" customHeight="1">
      <c r="A22" s="133"/>
      <c r="B22" s="134"/>
      <c r="C22" s="135"/>
      <c r="D22" s="136"/>
      <c r="E22" s="137">
        <f t="shared" si="2"/>
      </c>
      <c r="F22" s="137">
        <f t="shared" si="3"/>
      </c>
      <c r="G22" s="185"/>
      <c r="H22" s="138">
        <f>SUMIF(time100,D22,data!$M$16:$M$21)</f>
        <v>0</v>
      </c>
      <c r="I22" s="139">
        <f t="shared" si="4"/>
        <v>0</v>
      </c>
      <c r="J22" s="248">
        <f t="shared" si="1"/>
        <v>0</v>
      </c>
      <c r="K22" s="14" t="b">
        <f t="shared" si="5"/>
        <v>0</v>
      </c>
      <c r="L22" s="12">
        <f t="shared" si="6"/>
        <v>0</v>
      </c>
      <c r="M22" s="14" t="b">
        <f t="shared" si="7"/>
        <v>0</v>
      </c>
      <c r="N22" s="12">
        <f t="shared" si="8"/>
        <v>0</v>
      </c>
      <c r="O22" s="14" t="b">
        <f t="shared" si="9"/>
        <v>0</v>
      </c>
      <c r="P22" s="12">
        <f t="shared" si="10"/>
        <v>0</v>
      </c>
      <c r="Q22" s="14" t="b">
        <f t="shared" si="11"/>
        <v>0</v>
      </c>
      <c r="R22" s="12">
        <f t="shared" si="12"/>
        <v>0</v>
      </c>
      <c r="S22" s="14" t="b">
        <f t="shared" si="13"/>
        <v>0</v>
      </c>
      <c r="T22" s="12">
        <f t="shared" si="14"/>
        <v>0</v>
      </c>
      <c r="U22" s="14" t="b">
        <f t="shared" si="15"/>
        <v>0</v>
      </c>
      <c r="V22" s="12">
        <f t="shared" si="16"/>
        <v>0</v>
      </c>
      <c r="W22" s="179">
        <f>IF(BC22="",1,VLOOKUP(BC22,data!$C$3:$D$10,2,FALSE))*(1+BD22)</f>
        <v>1</v>
      </c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1"/>
      <c r="BD22" s="8"/>
      <c r="BE22" s="8"/>
      <c r="BF22" s="6">
        <f t="shared" si="17"/>
        <v>0</v>
      </c>
      <c r="BG22" s="6">
        <f t="shared" si="18"/>
        <v>0</v>
      </c>
      <c r="BH22" s="6">
        <f t="shared" si="19"/>
        <v>0</v>
      </c>
      <c r="BI22" s="6">
        <f t="shared" si="20"/>
        <v>0</v>
      </c>
      <c r="BJ22" s="6">
        <f t="shared" si="21"/>
        <v>0</v>
      </c>
      <c r="BL22" s="87">
        <f t="shared" si="22"/>
        <v>0</v>
      </c>
      <c r="BM22" s="87">
        <f t="shared" si="23"/>
        <v>0</v>
      </c>
      <c r="BN22" s="87">
        <f t="shared" si="24"/>
        <v>0</v>
      </c>
      <c r="BO22" s="87">
        <f t="shared" si="25"/>
        <v>0</v>
      </c>
      <c r="BP22" s="87">
        <f t="shared" si="26"/>
        <v>0</v>
      </c>
      <c r="BQ22" s="87">
        <f t="shared" si="27"/>
        <v>0</v>
      </c>
    </row>
    <row r="23" spans="1:69" ht="12.75" customHeight="1">
      <c r="A23" s="133"/>
      <c r="B23" s="134"/>
      <c r="C23" s="135"/>
      <c r="D23" s="136"/>
      <c r="E23" s="137">
        <f t="shared" si="2"/>
      </c>
      <c r="F23" s="137">
        <f t="shared" si="3"/>
      </c>
      <c r="G23" s="185"/>
      <c r="H23" s="138">
        <f>SUMIF(time100,D23,data!$M$16:$M$21)</f>
        <v>0</v>
      </c>
      <c r="I23" s="139">
        <f t="shared" si="4"/>
        <v>0</v>
      </c>
      <c r="J23" s="248">
        <f t="shared" si="1"/>
        <v>0</v>
      </c>
      <c r="K23" s="14" t="b">
        <f t="shared" si="5"/>
        <v>0</v>
      </c>
      <c r="L23" s="12">
        <f t="shared" si="6"/>
        <v>0</v>
      </c>
      <c r="M23" s="14" t="b">
        <f t="shared" si="7"/>
        <v>0</v>
      </c>
      <c r="N23" s="12">
        <f t="shared" si="8"/>
        <v>0</v>
      </c>
      <c r="O23" s="14" t="b">
        <f t="shared" si="9"/>
        <v>0</v>
      </c>
      <c r="P23" s="12">
        <f t="shared" si="10"/>
        <v>0</v>
      </c>
      <c r="Q23" s="14" t="b">
        <f t="shared" si="11"/>
        <v>0</v>
      </c>
      <c r="R23" s="12">
        <f t="shared" si="12"/>
        <v>0</v>
      </c>
      <c r="S23" s="14" t="b">
        <f t="shared" si="13"/>
        <v>0</v>
      </c>
      <c r="T23" s="12">
        <f t="shared" si="14"/>
        <v>0</v>
      </c>
      <c r="U23" s="14" t="b">
        <f t="shared" si="15"/>
        <v>0</v>
      </c>
      <c r="V23" s="12">
        <f t="shared" si="16"/>
        <v>0</v>
      </c>
      <c r="W23" s="179">
        <f>IF(BC23="",1,VLOOKUP(BC23,data!$C$3:$D$10,2,FALSE))*(1+BD23)</f>
        <v>1</v>
      </c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1"/>
      <c r="BD23" s="8"/>
      <c r="BE23" s="8"/>
      <c r="BF23" s="6">
        <f t="shared" si="17"/>
        <v>0</v>
      </c>
      <c r="BG23" s="6">
        <f t="shared" si="18"/>
        <v>0</v>
      </c>
      <c r="BH23" s="6">
        <f t="shared" si="19"/>
        <v>0</v>
      </c>
      <c r="BI23" s="6">
        <f t="shared" si="20"/>
        <v>0</v>
      </c>
      <c r="BJ23" s="6">
        <f t="shared" si="21"/>
        <v>0</v>
      </c>
      <c r="BL23" s="87">
        <f t="shared" si="22"/>
        <v>0</v>
      </c>
      <c r="BM23" s="87">
        <f t="shared" si="23"/>
        <v>0</v>
      </c>
      <c r="BN23" s="87">
        <f t="shared" si="24"/>
        <v>0</v>
      </c>
      <c r="BO23" s="87">
        <f t="shared" si="25"/>
        <v>0</v>
      </c>
      <c r="BP23" s="87">
        <f t="shared" si="26"/>
        <v>0</v>
      </c>
      <c r="BQ23" s="87">
        <f t="shared" si="27"/>
        <v>0</v>
      </c>
    </row>
    <row r="24" spans="1:69" ht="12.75" customHeight="1">
      <c r="A24" s="133"/>
      <c r="B24" s="134"/>
      <c r="C24" s="135"/>
      <c r="D24" s="136"/>
      <c r="E24" s="137">
        <f t="shared" si="2"/>
      </c>
      <c r="F24" s="137">
        <f t="shared" si="3"/>
      </c>
      <c r="G24" s="185"/>
      <c r="H24" s="138">
        <f>SUMIF(time100,D24,data!$M$16:$M$21)</f>
        <v>0</v>
      </c>
      <c r="I24" s="139">
        <f t="shared" si="4"/>
        <v>0</v>
      </c>
      <c r="J24" s="248">
        <f t="shared" si="1"/>
        <v>0</v>
      </c>
      <c r="K24" s="14" t="b">
        <f t="shared" si="5"/>
        <v>0</v>
      </c>
      <c r="L24" s="12">
        <f t="shared" si="6"/>
        <v>0</v>
      </c>
      <c r="M24" s="14" t="b">
        <f t="shared" si="7"/>
        <v>0</v>
      </c>
      <c r="N24" s="12">
        <f t="shared" si="8"/>
        <v>0</v>
      </c>
      <c r="O24" s="14" t="b">
        <f t="shared" si="9"/>
        <v>0</v>
      </c>
      <c r="P24" s="12">
        <f t="shared" si="10"/>
        <v>0</v>
      </c>
      <c r="Q24" s="14" t="b">
        <f t="shared" si="11"/>
        <v>0</v>
      </c>
      <c r="R24" s="12">
        <f t="shared" si="12"/>
        <v>0</v>
      </c>
      <c r="S24" s="14" t="b">
        <f t="shared" si="13"/>
        <v>0</v>
      </c>
      <c r="T24" s="12">
        <f t="shared" si="14"/>
        <v>0</v>
      </c>
      <c r="U24" s="14" t="b">
        <f t="shared" si="15"/>
        <v>0</v>
      </c>
      <c r="V24" s="12">
        <f t="shared" si="16"/>
        <v>0</v>
      </c>
      <c r="W24" s="179">
        <f>IF(BC24="",1,VLOOKUP(BC24,data!$C$3:$D$10,2,FALSE))*(1+BD24)</f>
        <v>1</v>
      </c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1"/>
      <c r="BD24" s="8"/>
      <c r="BE24" s="8"/>
      <c r="BF24" s="6">
        <f t="shared" si="17"/>
        <v>0</v>
      </c>
      <c r="BG24" s="6">
        <f t="shared" si="18"/>
        <v>0</v>
      </c>
      <c r="BH24" s="6">
        <f t="shared" si="19"/>
        <v>0</v>
      </c>
      <c r="BI24" s="6">
        <f t="shared" si="20"/>
        <v>0</v>
      </c>
      <c r="BJ24" s="6">
        <f t="shared" si="21"/>
        <v>0</v>
      </c>
      <c r="BL24" s="87">
        <f t="shared" si="22"/>
        <v>0</v>
      </c>
      <c r="BM24" s="87">
        <f t="shared" si="23"/>
        <v>0</v>
      </c>
      <c r="BN24" s="87">
        <f t="shared" si="24"/>
        <v>0</v>
      </c>
      <c r="BO24" s="87">
        <f t="shared" si="25"/>
        <v>0</v>
      </c>
      <c r="BP24" s="87">
        <f t="shared" si="26"/>
        <v>0</v>
      </c>
      <c r="BQ24" s="87">
        <f t="shared" si="27"/>
        <v>0</v>
      </c>
    </row>
    <row r="25" spans="1:69" ht="12.75" customHeight="1">
      <c r="A25" s="133"/>
      <c r="B25" s="134"/>
      <c r="C25" s="135"/>
      <c r="D25" s="136"/>
      <c r="E25" s="137">
        <f t="shared" si="2"/>
      </c>
      <c r="F25" s="137">
        <f t="shared" si="3"/>
      </c>
      <c r="G25" s="185"/>
      <c r="H25" s="138">
        <f>SUMIF(time100,D25,data!$M$16:$M$21)</f>
        <v>0</v>
      </c>
      <c r="I25" s="139">
        <f t="shared" si="4"/>
        <v>0</v>
      </c>
      <c r="J25" s="248">
        <f t="shared" si="1"/>
        <v>0</v>
      </c>
      <c r="K25" s="14" t="b">
        <f t="shared" si="5"/>
        <v>0</v>
      </c>
      <c r="L25" s="12">
        <f t="shared" si="6"/>
        <v>0</v>
      </c>
      <c r="M25" s="14" t="b">
        <f t="shared" si="7"/>
        <v>0</v>
      </c>
      <c r="N25" s="12">
        <f t="shared" si="8"/>
        <v>0</v>
      </c>
      <c r="O25" s="14" t="b">
        <f t="shared" si="9"/>
        <v>0</v>
      </c>
      <c r="P25" s="12">
        <f t="shared" si="10"/>
        <v>0</v>
      </c>
      <c r="Q25" s="14" t="b">
        <f t="shared" si="11"/>
        <v>0</v>
      </c>
      <c r="R25" s="12">
        <f t="shared" si="12"/>
        <v>0</v>
      </c>
      <c r="S25" s="14" t="b">
        <f t="shared" si="13"/>
        <v>0</v>
      </c>
      <c r="T25" s="12">
        <f t="shared" si="14"/>
        <v>0</v>
      </c>
      <c r="U25" s="14" t="b">
        <f t="shared" si="15"/>
        <v>0</v>
      </c>
      <c r="V25" s="12">
        <f t="shared" si="16"/>
        <v>0</v>
      </c>
      <c r="W25" s="179">
        <f>IF(BC25="",1,VLOOKUP(BC25,data!$C$3:$D$10,2,FALSE))*(1+BD25)</f>
        <v>1</v>
      </c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1"/>
      <c r="BD25" s="8"/>
      <c r="BE25" s="8"/>
      <c r="BF25" s="6">
        <f t="shared" si="17"/>
        <v>0</v>
      </c>
      <c r="BG25" s="6">
        <f t="shared" si="18"/>
        <v>0</v>
      </c>
      <c r="BH25" s="6">
        <f t="shared" si="19"/>
        <v>0</v>
      </c>
      <c r="BI25" s="6">
        <f t="shared" si="20"/>
        <v>0</v>
      </c>
      <c r="BJ25" s="6">
        <f t="shared" si="21"/>
        <v>0</v>
      </c>
      <c r="BL25" s="87">
        <f t="shared" si="22"/>
        <v>0</v>
      </c>
      <c r="BM25" s="87">
        <f t="shared" si="23"/>
        <v>0</v>
      </c>
      <c r="BN25" s="87">
        <f t="shared" si="24"/>
        <v>0</v>
      </c>
      <c r="BO25" s="87">
        <f t="shared" si="25"/>
        <v>0</v>
      </c>
      <c r="BP25" s="87">
        <f t="shared" si="26"/>
        <v>0</v>
      </c>
      <c r="BQ25" s="87">
        <f t="shared" si="27"/>
        <v>0</v>
      </c>
    </row>
    <row r="26" spans="1:69" ht="12.75" customHeight="1">
      <c r="A26" s="133"/>
      <c r="B26" s="134"/>
      <c r="C26" s="135"/>
      <c r="D26" s="136"/>
      <c r="E26" s="137">
        <f t="shared" si="2"/>
      </c>
      <c r="F26" s="137">
        <f t="shared" si="3"/>
      </c>
      <c r="G26" s="185"/>
      <c r="H26" s="138">
        <f>SUMIF(time100,D26,data!$M$16:$M$21)</f>
        <v>0</v>
      </c>
      <c r="I26" s="139">
        <f t="shared" si="4"/>
        <v>0</v>
      </c>
      <c r="J26" s="248">
        <f t="shared" si="1"/>
        <v>0</v>
      </c>
      <c r="K26" s="14" t="b">
        <f t="shared" si="5"/>
        <v>0</v>
      </c>
      <c r="L26" s="12">
        <f t="shared" si="6"/>
        <v>0</v>
      </c>
      <c r="M26" s="14" t="b">
        <f t="shared" si="7"/>
        <v>0</v>
      </c>
      <c r="N26" s="12">
        <f t="shared" si="8"/>
        <v>0</v>
      </c>
      <c r="O26" s="14" t="b">
        <f t="shared" si="9"/>
        <v>0</v>
      </c>
      <c r="P26" s="12">
        <f t="shared" si="10"/>
        <v>0</v>
      </c>
      <c r="Q26" s="14" t="b">
        <f t="shared" si="11"/>
        <v>0</v>
      </c>
      <c r="R26" s="12">
        <f t="shared" si="12"/>
        <v>0</v>
      </c>
      <c r="S26" s="14" t="b">
        <f t="shared" si="13"/>
        <v>0</v>
      </c>
      <c r="T26" s="12">
        <f t="shared" si="14"/>
        <v>0</v>
      </c>
      <c r="U26" s="14" t="b">
        <f t="shared" si="15"/>
        <v>0</v>
      </c>
      <c r="V26" s="12">
        <f t="shared" si="16"/>
        <v>0</v>
      </c>
      <c r="W26" s="179">
        <f>IF(BC26="",1,VLOOKUP(BC26,data!$C$3:$D$10,2,FALSE))*(1+BD26)</f>
        <v>1</v>
      </c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1"/>
      <c r="BD26" s="8"/>
      <c r="BE26" s="8"/>
      <c r="BF26" s="6">
        <f t="shared" si="17"/>
        <v>0</v>
      </c>
      <c r="BG26" s="6">
        <f t="shared" si="18"/>
        <v>0</v>
      </c>
      <c r="BH26" s="6">
        <f t="shared" si="19"/>
        <v>0</v>
      </c>
      <c r="BI26" s="6">
        <f t="shared" si="20"/>
        <v>0</v>
      </c>
      <c r="BJ26" s="6">
        <f t="shared" si="21"/>
        <v>0</v>
      </c>
      <c r="BL26" s="87">
        <f t="shared" si="22"/>
        <v>0</v>
      </c>
      <c r="BM26" s="87">
        <f t="shared" si="23"/>
        <v>0</v>
      </c>
      <c r="BN26" s="87">
        <f t="shared" si="24"/>
        <v>0</v>
      </c>
      <c r="BO26" s="87">
        <f t="shared" si="25"/>
        <v>0</v>
      </c>
      <c r="BP26" s="87">
        <f t="shared" si="26"/>
        <v>0</v>
      </c>
      <c r="BQ26" s="87">
        <f t="shared" si="27"/>
        <v>0</v>
      </c>
    </row>
    <row r="27" spans="1:69" ht="12.75" customHeight="1">
      <c r="A27" s="133"/>
      <c r="B27" s="134"/>
      <c r="C27" s="135"/>
      <c r="D27" s="136"/>
      <c r="E27" s="137">
        <f t="shared" si="2"/>
      </c>
      <c r="F27" s="137">
        <f t="shared" si="3"/>
      </c>
      <c r="G27" s="185"/>
      <c r="H27" s="138">
        <f>SUMIF(time100,D27,data!$M$16:$M$21)</f>
        <v>0</v>
      </c>
      <c r="I27" s="139">
        <f t="shared" si="4"/>
        <v>0</v>
      </c>
      <c r="J27" s="248">
        <f t="shared" si="1"/>
        <v>0</v>
      </c>
      <c r="K27" s="14" t="b">
        <f t="shared" si="5"/>
        <v>0</v>
      </c>
      <c r="L27" s="12">
        <f t="shared" si="6"/>
        <v>0</v>
      </c>
      <c r="M27" s="14" t="b">
        <f t="shared" si="7"/>
        <v>0</v>
      </c>
      <c r="N27" s="12">
        <f t="shared" si="8"/>
        <v>0</v>
      </c>
      <c r="O27" s="14" t="b">
        <f t="shared" si="9"/>
        <v>0</v>
      </c>
      <c r="P27" s="12">
        <f t="shared" si="10"/>
        <v>0</v>
      </c>
      <c r="Q27" s="14" t="b">
        <f t="shared" si="11"/>
        <v>0</v>
      </c>
      <c r="R27" s="12">
        <f t="shared" si="12"/>
        <v>0</v>
      </c>
      <c r="S27" s="14" t="b">
        <f t="shared" si="13"/>
        <v>0</v>
      </c>
      <c r="T27" s="12">
        <f t="shared" si="14"/>
        <v>0</v>
      </c>
      <c r="U27" s="14" t="b">
        <f t="shared" si="15"/>
        <v>0</v>
      </c>
      <c r="V27" s="12">
        <f t="shared" si="16"/>
        <v>0</v>
      </c>
      <c r="W27" s="179">
        <f>IF(BC27="",1,VLOOKUP(BC27,data!$C$3:$D$10,2,FALSE))*(1+BD27)</f>
        <v>1</v>
      </c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1"/>
      <c r="BD27" s="8"/>
      <c r="BE27" s="8"/>
      <c r="BF27" s="6">
        <f t="shared" si="17"/>
        <v>0</v>
      </c>
      <c r="BG27" s="6">
        <f t="shared" si="18"/>
        <v>0</v>
      </c>
      <c r="BH27" s="6">
        <f t="shared" si="19"/>
        <v>0</v>
      </c>
      <c r="BI27" s="6">
        <f t="shared" si="20"/>
        <v>0</v>
      </c>
      <c r="BJ27" s="6">
        <f t="shared" si="21"/>
        <v>0</v>
      </c>
      <c r="BL27" s="87">
        <f t="shared" si="22"/>
        <v>0</v>
      </c>
      <c r="BM27" s="87">
        <f t="shared" si="23"/>
        <v>0</v>
      </c>
      <c r="BN27" s="87">
        <f t="shared" si="24"/>
        <v>0</v>
      </c>
      <c r="BO27" s="87">
        <f t="shared" si="25"/>
        <v>0</v>
      </c>
      <c r="BP27" s="87">
        <f t="shared" si="26"/>
        <v>0</v>
      </c>
      <c r="BQ27" s="87">
        <f t="shared" si="27"/>
        <v>0</v>
      </c>
    </row>
    <row r="28" spans="1:69" ht="12.75" customHeight="1">
      <c r="A28" s="133"/>
      <c r="B28" s="134"/>
      <c r="C28" s="135"/>
      <c r="D28" s="136"/>
      <c r="E28" s="137">
        <f t="shared" si="2"/>
      </c>
      <c r="F28" s="137">
        <f t="shared" si="3"/>
      </c>
      <c r="G28" s="185"/>
      <c r="H28" s="138">
        <f>SUMIF(time100,D28,data!$M$16:$M$21)</f>
        <v>0</v>
      </c>
      <c r="I28" s="139">
        <f t="shared" si="4"/>
        <v>0</v>
      </c>
      <c r="J28" s="248">
        <f t="shared" si="1"/>
        <v>0</v>
      </c>
      <c r="K28" s="14" t="b">
        <f t="shared" si="5"/>
        <v>0</v>
      </c>
      <c r="L28" s="12">
        <f t="shared" si="6"/>
        <v>0</v>
      </c>
      <c r="M28" s="14" t="b">
        <f t="shared" si="7"/>
        <v>0</v>
      </c>
      <c r="N28" s="12">
        <f t="shared" si="8"/>
        <v>0</v>
      </c>
      <c r="O28" s="14" t="b">
        <f t="shared" si="9"/>
        <v>0</v>
      </c>
      <c r="P28" s="12">
        <f t="shared" si="10"/>
        <v>0</v>
      </c>
      <c r="Q28" s="14" t="b">
        <f t="shared" si="11"/>
        <v>0</v>
      </c>
      <c r="R28" s="12">
        <f t="shared" si="12"/>
        <v>0</v>
      </c>
      <c r="S28" s="14" t="b">
        <f t="shared" si="13"/>
        <v>0</v>
      </c>
      <c r="T28" s="12">
        <f t="shared" si="14"/>
        <v>0</v>
      </c>
      <c r="U28" s="14" t="b">
        <f t="shared" si="15"/>
        <v>0</v>
      </c>
      <c r="V28" s="12">
        <f t="shared" si="16"/>
        <v>0</v>
      </c>
      <c r="W28" s="179">
        <f>IF(BC28="",1,VLOOKUP(BC28,data!$C$3:$D$10,2,FALSE))*(1+BD28)</f>
        <v>1</v>
      </c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1"/>
      <c r="BD28" s="8"/>
      <c r="BE28" s="8"/>
      <c r="BF28" s="6">
        <f t="shared" si="17"/>
        <v>0</v>
      </c>
      <c r="BG28" s="6">
        <f t="shared" si="18"/>
        <v>0</v>
      </c>
      <c r="BH28" s="6">
        <f t="shared" si="19"/>
        <v>0</v>
      </c>
      <c r="BI28" s="6">
        <f t="shared" si="20"/>
        <v>0</v>
      </c>
      <c r="BJ28" s="6">
        <f t="shared" si="21"/>
        <v>0</v>
      </c>
      <c r="BL28" s="87">
        <f t="shared" si="22"/>
        <v>0</v>
      </c>
      <c r="BM28" s="87">
        <f t="shared" si="23"/>
        <v>0</v>
      </c>
      <c r="BN28" s="87">
        <f t="shared" si="24"/>
        <v>0</v>
      </c>
      <c r="BO28" s="87">
        <f t="shared" si="25"/>
        <v>0</v>
      </c>
      <c r="BP28" s="87">
        <f t="shared" si="26"/>
        <v>0</v>
      </c>
      <c r="BQ28" s="87">
        <f t="shared" si="27"/>
        <v>0</v>
      </c>
    </row>
    <row r="29" spans="1:69" ht="12.75" customHeight="1">
      <c r="A29" s="133"/>
      <c r="B29" s="134"/>
      <c r="C29" s="135"/>
      <c r="D29" s="136"/>
      <c r="E29" s="137">
        <f t="shared" si="2"/>
      </c>
      <c r="F29" s="137">
        <f t="shared" si="3"/>
      </c>
      <c r="G29" s="185"/>
      <c r="H29" s="138">
        <f>SUMIF(time100,D29,data!$M$16:$M$21)</f>
        <v>0</v>
      </c>
      <c r="I29" s="139">
        <f t="shared" si="4"/>
        <v>0</v>
      </c>
      <c r="J29" s="248">
        <f t="shared" si="1"/>
        <v>0</v>
      </c>
      <c r="K29" s="14" t="b">
        <f t="shared" si="5"/>
        <v>0</v>
      </c>
      <c r="L29" s="12">
        <f t="shared" si="6"/>
        <v>0</v>
      </c>
      <c r="M29" s="14" t="b">
        <f t="shared" si="7"/>
        <v>0</v>
      </c>
      <c r="N29" s="12">
        <f t="shared" si="8"/>
        <v>0</v>
      </c>
      <c r="O29" s="14" t="b">
        <f t="shared" si="9"/>
        <v>0</v>
      </c>
      <c r="P29" s="12">
        <f t="shared" si="10"/>
        <v>0</v>
      </c>
      <c r="Q29" s="14" t="b">
        <f t="shared" si="11"/>
        <v>0</v>
      </c>
      <c r="R29" s="12">
        <f t="shared" si="12"/>
        <v>0</v>
      </c>
      <c r="S29" s="14" t="b">
        <f t="shared" si="13"/>
        <v>0</v>
      </c>
      <c r="T29" s="12">
        <f t="shared" si="14"/>
        <v>0</v>
      </c>
      <c r="U29" s="14" t="b">
        <f t="shared" si="15"/>
        <v>0</v>
      </c>
      <c r="V29" s="12">
        <f t="shared" si="16"/>
        <v>0</v>
      </c>
      <c r="W29" s="179">
        <f>IF(BC29="",1,VLOOKUP(BC29,data!$C$3:$D$10,2,FALSE))*(1+BD29)</f>
        <v>1</v>
      </c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1"/>
      <c r="BD29" s="8"/>
      <c r="BE29" s="8"/>
      <c r="BF29" s="6">
        <f t="shared" si="17"/>
        <v>0</v>
      </c>
      <c r="BG29" s="6">
        <f t="shared" si="18"/>
        <v>0</v>
      </c>
      <c r="BH29" s="6">
        <f t="shared" si="19"/>
        <v>0</v>
      </c>
      <c r="BI29" s="6">
        <f t="shared" si="20"/>
        <v>0</v>
      </c>
      <c r="BJ29" s="6">
        <f t="shared" si="21"/>
        <v>0</v>
      </c>
      <c r="BL29" s="87">
        <f t="shared" si="22"/>
        <v>0</v>
      </c>
      <c r="BM29" s="87">
        <f t="shared" si="23"/>
        <v>0</v>
      </c>
      <c r="BN29" s="87">
        <f t="shared" si="24"/>
        <v>0</v>
      </c>
      <c r="BO29" s="87">
        <f t="shared" si="25"/>
        <v>0</v>
      </c>
      <c r="BP29" s="87">
        <f t="shared" si="26"/>
        <v>0</v>
      </c>
      <c r="BQ29" s="87">
        <f t="shared" si="27"/>
        <v>0</v>
      </c>
    </row>
    <row r="30" spans="1:69" ht="12.75" customHeight="1">
      <c r="A30" s="133"/>
      <c r="B30" s="134"/>
      <c r="C30" s="135"/>
      <c r="D30" s="136"/>
      <c r="E30" s="137">
        <f t="shared" si="2"/>
      </c>
      <c r="F30" s="137">
        <f t="shared" si="3"/>
      </c>
      <c r="G30" s="185"/>
      <c r="H30" s="138">
        <f>SUMIF(time100,D30,data!$M$16:$M$21)</f>
        <v>0</v>
      </c>
      <c r="I30" s="139">
        <f t="shared" si="4"/>
        <v>0</v>
      </c>
      <c r="J30" s="248">
        <f t="shared" si="1"/>
        <v>0</v>
      </c>
      <c r="K30" s="14" t="b">
        <f t="shared" si="5"/>
        <v>0</v>
      </c>
      <c r="L30" s="12">
        <f t="shared" si="6"/>
        <v>0</v>
      </c>
      <c r="M30" s="14" t="b">
        <f t="shared" si="7"/>
        <v>0</v>
      </c>
      <c r="N30" s="12">
        <f t="shared" si="8"/>
        <v>0</v>
      </c>
      <c r="O30" s="14" t="b">
        <f t="shared" si="9"/>
        <v>0</v>
      </c>
      <c r="P30" s="12">
        <f t="shared" si="10"/>
        <v>0</v>
      </c>
      <c r="Q30" s="14" t="b">
        <f t="shared" si="11"/>
        <v>0</v>
      </c>
      <c r="R30" s="12">
        <f t="shared" si="12"/>
        <v>0</v>
      </c>
      <c r="S30" s="14" t="b">
        <f t="shared" si="13"/>
        <v>0</v>
      </c>
      <c r="T30" s="12">
        <f t="shared" si="14"/>
        <v>0</v>
      </c>
      <c r="U30" s="14" t="b">
        <f t="shared" si="15"/>
        <v>0</v>
      </c>
      <c r="V30" s="12">
        <f t="shared" si="16"/>
        <v>0</v>
      </c>
      <c r="W30" s="179">
        <f>IF(BC30="",1,VLOOKUP(BC30,data!$C$3:$D$10,2,FALSE))*(1+BD30)</f>
        <v>1</v>
      </c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1"/>
      <c r="BD30" s="8"/>
      <c r="BE30" s="8"/>
      <c r="BF30" s="6">
        <f t="shared" si="17"/>
        <v>0</v>
      </c>
      <c r="BG30" s="6">
        <f t="shared" si="18"/>
        <v>0</v>
      </c>
      <c r="BH30" s="6">
        <f t="shared" si="19"/>
        <v>0</v>
      </c>
      <c r="BI30" s="6">
        <f t="shared" si="20"/>
        <v>0</v>
      </c>
      <c r="BJ30" s="6">
        <f t="shared" si="21"/>
        <v>0</v>
      </c>
      <c r="BL30" s="87">
        <f t="shared" si="22"/>
        <v>0</v>
      </c>
      <c r="BM30" s="87">
        <f t="shared" si="23"/>
        <v>0</v>
      </c>
      <c r="BN30" s="87">
        <f t="shared" si="24"/>
        <v>0</v>
      </c>
      <c r="BO30" s="87">
        <f t="shared" si="25"/>
        <v>0</v>
      </c>
      <c r="BP30" s="87">
        <f t="shared" si="26"/>
        <v>0</v>
      </c>
      <c r="BQ30" s="87">
        <f t="shared" si="27"/>
        <v>0</v>
      </c>
    </row>
    <row r="31" spans="1:69" ht="12.75" customHeight="1">
      <c r="A31" s="133"/>
      <c r="B31" s="134"/>
      <c r="C31" s="135"/>
      <c r="D31" s="136"/>
      <c r="E31" s="137">
        <f t="shared" si="2"/>
      </c>
      <c r="F31" s="137">
        <f t="shared" si="3"/>
      </c>
      <c r="G31" s="185"/>
      <c r="H31" s="138">
        <f>SUMIF(time100,D31,data!$M$16:$M$21)</f>
        <v>0</v>
      </c>
      <c r="I31" s="139">
        <f t="shared" si="4"/>
        <v>0</v>
      </c>
      <c r="J31" s="248">
        <f t="shared" si="1"/>
        <v>0</v>
      </c>
      <c r="K31" s="14" t="b">
        <f t="shared" si="5"/>
        <v>0</v>
      </c>
      <c r="L31" s="12">
        <f t="shared" si="6"/>
        <v>0</v>
      </c>
      <c r="M31" s="14" t="b">
        <f t="shared" si="7"/>
        <v>0</v>
      </c>
      <c r="N31" s="12">
        <f t="shared" si="8"/>
        <v>0</v>
      </c>
      <c r="O31" s="14" t="b">
        <f t="shared" si="9"/>
        <v>0</v>
      </c>
      <c r="P31" s="12">
        <f t="shared" si="10"/>
        <v>0</v>
      </c>
      <c r="Q31" s="14" t="b">
        <f t="shared" si="11"/>
        <v>0</v>
      </c>
      <c r="R31" s="12">
        <f t="shared" si="12"/>
        <v>0</v>
      </c>
      <c r="S31" s="14" t="b">
        <f t="shared" si="13"/>
        <v>0</v>
      </c>
      <c r="T31" s="12">
        <f t="shared" si="14"/>
        <v>0</v>
      </c>
      <c r="U31" s="14" t="b">
        <f t="shared" si="15"/>
        <v>0</v>
      </c>
      <c r="V31" s="12">
        <f t="shared" si="16"/>
        <v>0</v>
      </c>
      <c r="W31" s="179">
        <f>IF(BC31="",1,VLOOKUP(BC31,data!$C$3:$D$10,2,FALSE))*(1+BD31)</f>
        <v>1</v>
      </c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1"/>
      <c r="BD31" s="8"/>
      <c r="BE31" s="8"/>
      <c r="BF31" s="6">
        <f t="shared" si="17"/>
        <v>0</v>
      </c>
      <c r="BG31" s="6">
        <f t="shared" si="18"/>
        <v>0</v>
      </c>
      <c r="BH31" s="6">
        <f t="shared" si="19"/>
        <v>0</v>
      </c>
      <c r="BI31" s="6">
        <f t="shared" si="20"/>
        <v>0</v>
      </c>
      <c r="BJ31" s="6">
        <f t="shared" si="21"/>
        <v>0</v>
      </c>
      <c r="BL31" s="87">
        <f t="shared" si="22"/>
        <v>0</v>
      </c>
      <c r="BM31" s="87">
        <f t="shared" si="23"/>
        <v>0</v>
      </c>
      <c r="BN31" s="87">
        <f t="shared" si="24"/>
        <v>0</v>
      </c>
      <c r="BO31" s="87">
        <f t="shared" si="25"/>
        <v>0</v>
      </c>
      <c r="BP31" s="87">
        <f t="shared" si="26"/>
        <v>0</v>
      </c>
      <c r="BQ31" s="87">
        <f t="shared" si="27"/>
        <v>0</v>
      </c>
    </row>
    <row r="32" spans="1:69" ht="12.75" customHeight="1">
      <c r="A32" s="133"/>
      <c r="B32" s="134"/>
      <c r="C32" s="135"/>
      <c r="D32" s="136"/>
      <c r="E32" s="137">
        <f t="shared" si="2"/>
      </c>
      <c r="F32" s="137">
        <f t="shared" si="3"/>
      </c>
      <c r="G32" s="185"/>
      <c r="H32" s="138">
        <f>SUMIF(time100,D32,data!$M$16:$M$21)</f>
        <v>0</v>
      </c>
      <c r="I32" s="139">
        <f t="shared" si="4"/>
        <v>0</v>
      </c>
      <c r="J32" s="248">
        <f t="shared" si="1"/>
        <v>0</v>
      </c>
      <c r="K32" s="14" t="b">
        <f t="shared" si="5"/>
        <v>0</v>
      </c>
      <c r="L32" s="12">
        <f t="shared" si="6"/>
        <v>0</v>
      </c>
      <c r="M32" s="14" t="b">
        <f t="shared" si="7"/>
        <v>0</v>
      </c>
      <c r="N32" s="12">
        <f t="shared" si="8"/>
        <v>0</v>
      </c>
      <c r="O32" s="14" t="b">
        <f t="shared" si="9"/>
        <v>0</v>
      </c>
      <c r="P32" s="12">
        <f t="shared" si="10"/>
        <v>0</v>
      </c>
      <c r="Q32" s="14" t="b">
        <f t="shared" si="11"/>
        <v>0</v>
      </c>
      <c r="R32" s="12">
        <f t="shared" si="12"/>
        <v>0</v>
      </c>
      <c r="S32" s="14" t="b">
        <f t="shared" si="13"/>
        <v>0</v>
      </c>
      <c r="T32" s="12">
        <f t="shared" si="14"/>
        <v>0</v>
      </c>
      <c r="U32" s="14" t="b">
        <f t="shared" si="15"/>
        <v>0</v>
      </c>
      <c r="V32" s="12">
        <f t="shared" si="16"/>
        <v>0</v>
      </c>
      <c r="W32" s="179">
        <f>IF(BC32="",1,VLOOKUP(BC32,data!$C$3:$D$10,2,FALSE))*(1+BD32)</f>
        <v>1</v>
      </c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1"/>
      <c r="BD32" s="8"/>
      <c r="BE32" s="8"/>
      <c r="BF32" s="6">
        <f t="shared" si="17"/>
        <v>0</v>
      </c>
      <c r="BG32" s="6">
        <f t="shared" si="18"/>
        <v>0</v>
      </c>
      <c r="BH32" s="6">
        <f t="shared" si="19"/>
        <v>0</v>
      </c>
      <c r="BI32" s="6">
        <f t="shared" si="20"/>
        <v>0</v>
      </c>
      <c r="BJ32" s="6">
        <f t="shared" si="21"/>
        <v>0</v>
      </c>
      <c r="BL32" s="87">
        <f t="shared" si="22"/>
        <v>0</v>
      </c>
      <c r="BM32" s="87">
        <f t="shared" si="23"/>
        <v>0</v>
      </c>
      <c r="BN32" s="87">
        <f t="shared" si="24"/>
        <v>0</v>
      </c>
      <c r="BO32" s="87">
        <f t="shared" si="25"/>
        <v>0</v>
      </c>
      <c r="BP32" s="87">
        <f t="shared" si="26"/>
        <v>0</v>
      </c>
      <c r="BQ32" s="87">
        <f t="shared" si="27"/>
        <v>0</v>
      </c>
    </row>
    <row r="33" spans="1:69" ht="12.75" customHeight="1">
      <c r="A33" s="133"/>
      <c r="B33" s="134"/>
      <c r="C33" s="135"/>
      <c r="D33" s="136"/>
      <c r="E33" s="137">
        <f t="shared" si="2"/>
      </c>
      <c r="F33" s="137">
        <f t="shared" si="3"/>
      </c>
      <c r="G33" s="185"/>
      <c r="H33" s="138">
        <f>SUMIF(time100,D33,data!$M$16:$M$21)</f>
        <v>0</v>
      </c>
      <c r="I33" s="139">
        <f t="shared" si="4"/>
        <v>0</v>
      </c>
      <c r="J33" s="248">
        <f t="shared" si="1"/>
        <v>0</v>
      </c>
      <c r="K33" s="14" t="b">
        <f t="shared" si="5"/>
        <v>0</v>
      </c>
      <c r="L33" s="12">
        <f t="shared" si="6"/>
        <v>0</v>
      </c>
      <c r="M33" s="14" t="b">
        <f t="shared" si="7"/>
        <v>0</v>
      </c>
      <c r="N33" s="12">
        <f t="shared" si="8"/>
        <v>0</v>
      </c>
      <c r="O33" s="14" t="b">
        <f t="shared" si="9"/>
        <v>0</v>
      </c>
      <c r="P33" s="12">
        <f t="shared" si="10"/>
        <v>0</v>
      </c>
      <c r="Q33" s="14" t="b">
        <f t="shared" si="11"/>
        <v>0</v>
      </c>
      <c r="R33" s="12">
        <f t="shared" si="12"/>
        <v>0</v>
      </c>
      <c r="S33" s="14" t="b">
        <f t="shared" si="13"/>
        <v>0</v>
      </c>
      <c r="T33" s="12">
        <f t="shared" si="14"/>
        <v>0</v>
      </c>
      <c r="U33" s="14" t="b">
        <f t="shared" si="15"/>
        <v>0</v>
      </c>
      <c r="V33" s="12">
        <f t="shared" si="16"/>
        <v>0</v>
      </c>
      <c r="W33" s="179">
        <f>IF(BC33="",1,VLOOKUP(BC33,data!$C$3:$D$10,2,FALSE))*(1+BD33)</f>
        <v>1</v>
      </c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1"/>
      <c r="BD33" s="8"/>
      <c r="BE33" s="8"/>
      <c r="BF33" s="6">
        <f t="shared" si="17"/>
        <v>0</v>
      </c>
      <c r="BG33" s="6">
        <f t="shared" si="18"/>
        <v>0</v>
      </c>
      <c r="BH33" s="6">
        <f t="shared" si="19"/>
        <v>0</v>
      </c>
      <c r="BI33" s="6">
        <f t="shared" si="20"/>
        <v>0</v>
      </c>
      <c r="BJ33" s="6">
        <f t="shared" si="21"/>
        <v>0</v>
      </c>
      <c r="BL33" s="87">
        <f t="shared" si="22"/>
        <v>0</v>
      </c>
      <c r="BM33" s="87">
        <f t="shared" si="23"/>
        <v>0</v>
      </c>
      <c r="BN33" s="87">
        <f t="shared" si="24"/>
        <v>0</v>
      </c>
      <c r="BO33" s="87">
        <f t="shared" si="25"/>
        <v>0</v>
      </c>
      <c r="BP33" s="87">
        <f t="shared" si="26"/>
        <v>0</v>
      </c>
      <c r="BQ33" s="87">
        <f t="shared" si="27"/>
        <v>0</v>
      </c>
    </row>
    <row r="34" spans="1:69" ht="12.75" customHeight="1">
      <c r="A34" s="133"/>
      <c r="B34" s="134"/>
      <c r="C34" s="135"/>
      <c r="D34" s="136"/>
      <c r="E34" s="137">
        <f t="shared" si="2"/>
      </c>
      <c r="F34" s="137">
        <f t="shared" si="3"/>
      </c>
      <c r="G34" s="185"/>
      <c r="H34" s="138">
        <f>SUMIF(time100,D34,data!$M$16:$M$21)</f>
        <v>0</v>
      </c>
      <c r="I34" s="139">
        <f t="shared" si="4"/>
        <v>0</v>
      </c>
      <c r="J34" s="248">
        <f t="shared" si="1"/>
        <v>0</v>
      </c>
      <c r="K34" s="14" t="b">
        <f t="shared" si="5"/>
        <v>0</v>
      </c>
      <c r="L34" s="12">
        <f t="shared" si="6"/>
        <v>0</v>
      </c>
      <c r="M34" s="14" t="b">
        <f t="shared" si="7"/>
        <v>0</v>
      </c>
      <c r="N34" s="12">
        <f t="shared" si="8"/>
        <v>0</v>
      </c>
      <c r="O34" s="14" t="b">
        <f t="shared" si="9"/>
        <v>0</v>
      </c>
      <c r="P34" s="12">
        <f t="shared" si="10"/>
        <v>0</v>
      </c>
      <c r="Q34" s="14" t="b">
        <f t="shared" si="11"/>
        <v>0</v>
      </c>
      <c r="R34" s="12">
        <f t="shared" si="12"/>
        <v>0</v>
      </c>
      <c r="S34" s="14" t="b">
        <f t="shared" si="13"/>
        <v>0</v>
      </c>
      <c r="T34" s="12">
        <f t="shared" si="14"/>
        <v>0</v>
      </c>
      <c r="U34" s="14" t="b">
        <f t="shared" si="15"/>
        <v>0</v>
      </c>
      <c r="V34" s="12">
        <f t="shared" si="16"/>
        <v>0</v>
      </c>
      <c r="W34" s="179">
        <f>IF(BC34="",1,VLOOKUP(BC34,data!$C$3:$D$10,2,FALSE))*(1+BD34)</f>
        <v>1</v>
      </c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1"/>
      <c r="BD34" s="8"/>
      <c r="BE34" s="8"/>
      <c r="BF34" s="6">
        <f t="shared" si="17"/>
        <v>0</v>
      </c>
      <c r="BG34" s="6">
        <f t="shared" si="18"/>
        <v>0</v>
      </c>
      <c r="BH34" s="6">
        <f t="shared" si="19"/>
        <v>0</v>
      </c>
      <c r="BI34" s="6">
        <f t="shared" si="20"/>
        <v>0</v>
      </c>
      <c r="BJ34" s="6">
        <f t="shared" si="21"/>
        <v>0</v>
      </c>
      <c r="BL34" s="87">
        <f t="shared" si="22"/>
        <v>0</v>
      </c>
      <c r="BM34" s="87">
        <f t="shared" si="23"/>
        <v>0</v>
      </c>
      <c r="BN34" s="87">
        <f t="shared" si="24"/>
        <v>0</v>
      </c>
      <c r="BO34" s="87">
        <f t="shared" si="25"/>
        <v>0</v>
      </c>
      <c r="BP34" s="87">
        <f t="shared" si="26"/>
        <v>0</v>
      </c>
      <c r="BQ34" s="87">
        <f t="shared" si="27"/>
        <v>0</v>
      </c>
    </row>
    <row r="35" spans="1:69" ht="12.75" customHeight="1">
      <c r="A35" s="133"/>
      <c r="B35" s="134"/>
      <c r="C35" s="135"/>
      <c r="D35" s="136"/>
      <c r="E35" s="137">
        <f t="shared" si="2"/>
      </c>
      <c r="F35" s="137">
        <f t="shared" si="3"/>
      </c>
      <c r="G35" s="185"/>
      <c r="H35" s="138">
        <f>SUMIF(time100,D35,data!$M$16:$M$21)</f>
        <v>0</v>
      </c>
      <c r="I35" s="139">
        <f t="shared" si="4"/>
        <v>0</v>
      </c>
      <c r="J35" s="248">
        <f t="shared" si="1"/>
        <v>0</v>
      </c>
      <c r="K35" s="14" t="b">
        <f t="shared" si="5"/>
        <v>0</v>
      </c>
      <c r="L35" s="12">
        <f t="shared" si="6"/>
        <v>0</v>
      </c>
      <c r="M35" s="14" t="b">
        <f t="shared" si="7"/>
        <v>0</v>
      </c>
      <c r="N35" s="12">
        <f t="shared" si="8"/>
        <v>0</v>
      </c>
      <c r="O35" s="14" t="b">
        <f t="shared" si="9"/>
        <v>0</v>
      </c>
      <c r="P35" s="12">
        <f t="shared" si="10"/>
        <v>0</v>
      </c>
      <c r="Q35" s="14" t="b">
        <f t="shared" si="11"/>
        <v>0</v>
      </c>
      <c r="R35" s="12">
        <f t="shared" si="12"/>
        <v>0</v>
      </c>
      <c r="S35" s="14" t="b">
        <f t="shared" si="13"/>
        <v>0</v>
      </c>
      <c r="T35" s="12">
        <f t="shared" si="14"/>
        <v>0</v>
      </c>
      <c r="U35" s="14" t="b">
        <f t="shared" si="15"/>
        <v>0</v>
      </c>
      <c r="V35" s="12">
        <f t="shared" si="16"/>
        <v>0</v>
      </c>
      <c r="W35" s="179">
        <f>IF(BC35="",1,VLOOKUP(BC35,data!$C$3:$D$10,2,FALSE))*(1+BD35)</f>
        <v>1</v>
      </c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1"/>
      <c r="BD35" s="8"/>
      <c r="BE35" s="8"/>
      <c r="BF35" s="6">
        <f t="shared" si="17"/>
        <v>0</v>
      </c>
      <c r="BG35" s="6">
        <f t="shared" si="18"/>
        <v>0</v>
      </c>
      <c r="BH35" s="6">
        <f t="shared" si="19"/>
        <v>0</v>
      </c>
      <c r="BI35" s="6">
        <f t="shared" si="20"/>
        <v>0</v>
      </c>
      <c r="BJ35" s="6">
        <f t="shared" si="21"/>
        <v>0</v>
      </c>
      <c r="BL35" s="87">
        <f t="shared" si="22"/>
        <v>0</v>
      </c>
      <c r="BM35" s="87">
        <f t="shared" si="23"/>
        <v>0</v>
      </c>
      <c r="BN35" s="87">
        <f t="shared" si="24"/>
        <v>0</v>
      </c>
      <c r="BO35" s="87">
        <f t="shared" si="25"/>
        <v>0</v>
      </c>
      <c r="BP35" s="87">
        <f t="shared" si="26"/>
        <v>0</v>
      </c>
      <c r="BQ35" s="87">
        <f t="shared" si="27"/>
        <v>0</v>
      </c>
    </row>
    <row r="36" spans="1:69" ht="12.75" customHeight="1">
      <c r="A36" s="133"/>
      <c r="B36" s="134"/>
      <c r="C36" s="135"/>
      <c r="D36" s="136"/>
      <c r="E36" s="137">
        <f t="shared" si="2"/>
      </c>
      <c r="F36" s="137">
        <f t="shared" si="3"/>
      </c>
      <c r="G36" s="185"/>
      <c r="H36" s="138">
        <f>SUMIF(time100,D36,data!$M$16:$M$21)</f>
        <v>0</v>
      </c>
      <c r="I36" s="139">
        <f t="shared" si="4"/>
        <v>0</v>
      </c>
      <c r="J36" s="248">
        <f t="shared" si="1"/>
        <v>0</v>
      </c>
      <c r="K36" s="14" t="b">
        <f t="shared" si="5"/>
        <v>0</v>
      </c>
      <c r="L36" s="12">
        <f t="shared" si="6"/>
        <v>0</v>
      </c>
      <c r="M36" s="14" t="b">
        <f t="shared" si="7"/>
        <v>0</v>
      </c>
      <c r="N36" s="12">
        <f t="shared" si="8"/>
        <v>0</v>
      </c>
      <c r="O36" s="14" t="b">
        <f t="shared" si="9"/>
        <v>0</v>
      </c>
      <c r="P36" s="12">
        <f t="shared" si="10"/>
        <v>0</v>
      </c>
      <c r="Q36" s="14" t="b">
        <f t="shared" si="11"/>
        <v>0</v>
      </c>
      <c r="R36" s="12">
        <f t="shared" si="12"/>
        <v>0</v>
      </c>
      <c r="S36" s="14" t="b">
        <f t="shared" si="13"/>
        <v>0</v>
      </c>
      <c r="T36" s="12">
        <f t="shared" si="14"/>
        <v>0</v>
      </c>
      <c r="U36" s="14" t="b">
        <f t="shared" si="15"/>
        <v>0</v>
      </c>
      <c r="V36" s="12">
        <f t="shared" si="16"/>
        <v>0</v>
      </c>
      <c r="W36" s="179">
        <f>IF(BC36="",1,VLOOKUP(BC36,data!$C$3:$D$10,2,FALSE))*(1+BD36)</f>
        <v>1</v>
      </c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1"/>
      <c r="BD36" s="8"/>
      <c r="BE36" s="8"/>
      <c r="BF36" s="6">
        <f t="shared" si="17"/>
        <v>0</v>
      </c>
      <c r="BG36" s="6">
        <f t="shared" si="18"/>
        <v>0</v>
      </c>
      <c r="BH36" s="6">
        <f t="shared" si="19"/>
        <v>0</v>
      </c>
      <c r="BI36" s="6">
        <f t="shared" si="20"/>
        <v>0</v>
      </c>
      <c r="BJ36" s="6">
        <f t="shared" si="21"/>
        <v>0</v>
      </c>
      <c r="BL36" s="87">
        <f t="shared" si="22"/>
        <v>0</v>
      </c>
      <c r="BM36" s="87">
        <f t="shared" si="23"/>
        <v>0</v>
      </c>
      <c r="BN36" s="87">
        <f t="shared" si="24"/>
        <v>0</v>
      </c>
      <c r="BO36" s="87">
        <f t="shared" si="25"/>
        <v>0</v>
      </c>
      <c r="BP36" s="87">
        <f t="shared" si="26"/>
        <v>0</v>
      </c>
      <c r="BQ36" s="87">
        <f t="shared" si="27"/>
        <v>0</v>
      </c>
    </row>
    <row r="37" spans="1:69" ht="12.75" customHeight="1">
      <c r="A37" s="133"/>
      <c r="B37" s="134"/>
      <c r="C37" s="135"/>
      <c r="D37" s="136"/>
      <c r="E37" s="137">
        <f t="shared" si="2"/>
      </c>
      <c r="F37" s="137">
        <f t="shared" si="3"/>
      </c>
      <c r="G37" s="185"/>
      <c r="H37" s="138">
        <f>SUMIF(time100,D37,data!$M$16:$M$21)</f>
        <v>0</v>
      </c>
      <c r="I37" s="139">
        <f t="shared" si="4"/>
        <v>0</v>
      </c>
      <c r="J37" s="248">
        <f t="shared" si="1"/>
        <v>0</v>
      </c>
      <c r="K37" s="14" t="b">
        <f t="shared" si="5"/>
        <v>0</v>
      </c>
      <c r="L37" s="12">
        <f t="shared" si="6"/>
        <v>0</v>
      </c>
      <c r="M37" s="14" t="b">
        <f t="shared" si="7"/>
        <v>0</v>
      </c>
      <c r="N37" s="12">
        <f t="shared" si="8"/>
        <v>0</v>
      </c>
      <c r="O37" s="14" t="b">
        <f t="shared" si="9"/>
        <v>0</v>
      </c>
      <c r="P37" s="12">
        <f t="shared" si="10"/>
        <v>0</v>
      </c>
      <c r="Q37" s="14" t="b">
        <f t="shared" si="11"/>
        <v>0</v>
      </c>
      <c r="R37" s="12">
        <f t="shared" si="12"/>
        <v>0</v>
      </c>
      <c r="S37" s="14" t="b">
        <f t="shared" si="13"/>
        <v>0</v>
      </c>
      <c r="T37" s="12">
        <f t="shared" si="14"/>
        <v>0</v>
      </c>
      <c r="U37" s="14" t="b">
        <f t="shared" si="15"/>
        <v>0</v>
      </c>
      <c r="V37" s="12">
        <f t="shared" si="16"/>
        <v>0</v>
      </c>
      <c r="W37" s="179">
        <f>IF(BC37="",1,VLOOKUP(BC37,data!$C$3:$D$10,2,FALSE))*(1+BD37)</f>
        <v>1</v>
      </c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1"/>
      <c r="BD37" s="8"/>
      <c r="BE37" s="8"/>
      <c r="BF37" s="6">
        <f t="shared" si="17"/>
        <v>0</v>
      </c>
      <c r="BG37" s="6">
        <f t="shared" si="18"/>
        <v>0</v>
      </c>
      <c r="BH37" s="6">
        <f t="shared" si="19"/>
        <v>0</v>
      </c>
      <c r="BI37" s="6">
        <f t="shared" si="20"/>
        <v>0</v>
      </c>
      <c r="BJ37" s="6">
        <f t="shared" si="21"/>
        <v>0</v>
      </c>
      <c r="BL37" s="87">
        <f t="shared" si="22"/>
        <v>0</v>
      </c>
      <c r="BM37" s="87">
        <f t="shared" si="23"/>
        <v>0</v>
      </c>
      <c r="BN37" s="87">
        <f t="shared" si="24"/>
        <v>0</v>
      </c>
      <c r="BO37" s="87">
        <f t="shared" si="25"/>
        <v>0</v>
      </c>
      <c r="BP37" s="87">
        <f t="shared" si="26"/>
        <v>0</v>
      </c>
      <c r="BQ37" s="87">
        <f t="shared" si="27"/>
        <v>0</v>
      </c>
    </row>
    <row r="38" spans="1:69" ht="12.75" customHeight="1">
      <c r="A38" s="133"/>
      <c r="B38" s="134"/>
      <c r="C38" s="135"/>
      <c r="D38" s="136"/>
      <c r="E38" s="137">
        <f t="shared" si="2"/>
      </c>
      <c r="F38" s="137">
        <f t="shared" si="3"/>
      </c>
      <c r="G38" s="185"/>
      <c r="H38" s="138">
        <f>SUMIF(time100,D38,data!$M$16:$M$21)</f>
        <v>0</v>
      </c>
      <c r="I38" s="139">
        <f t="shared" si="4"/>
        <v>0</v>
      </c>
      <c r="J38" s="248">
        <f t="shared" si="1"/>
        <v>0</v>
      </c>
      <c r="K38" s="14" t="b">
        <f t="shared" si="5"/>
        <v>0</v>
      </c>
      <c r="L38" s="12">
        <f t="shared" si="6"/>
        <v>0</v>
      </c>
      <c r="M38" s="14" t="b">
        <f t="shared" si="7"/>
        <v>0</v>
      </c>
      <c r="N38" s="12">
        <f t="shared" si="8"/>
        <v>0</v>
      </c>
      <c r="O38" s="14" t="b">
        <f t="shared" si="9"/>
        <v>0</v>
      </c>
      <c r="P38" s="12">
        <f t="shared" si="10"/>
        <v>0</v>
      </c>
      <c r="Q38" s="14" t="b">
        <f t="shared" si="11"/>
        <v>0</v>
      </c>
      <c r="R38" s="12">
        <f t="shared" si="12"/>
        <v>0</v>
      </c>
      <c r="S38" s="14" t="b">
        <f t="shared" si="13"/>
        <v>0</v>
      </c>
      <c r="T38" s="12">
        <f t="shared" si="14"/>
        <v>0</v>
      </c>
      <c r="U38" s="14" t="b">
        <f t="shared" si="15"/>
        <v>0</v>
      </c>
      <c r="V38" s="12">
        <f t="shared" si="16"/>
        <v>0</v>
      </c>
      <c r="W38" s="179">
        <f>IF(BC38="",1,VLOOKUP(BC38,data!$C$3:$D$10,2,FALSE))*(1+BD38)</f>
        <v>1</v>
      </c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1"/>
      <c r="BD38" s="8"/>
      <c r="BE38" s="8"/>
      <c r="BF38" s="6">
        <f t="shared" si="17"/>
        <v>0</v>
      </c>
      <c r="BG38" s="6">
        <f t="shared" si="18"/>
        <v>0</v>
      </c>
      <c r="BH38" s="6">
        <f t="shared" si="19"/>
        <v>0</v>
      </c>
      <c r="BI38" s="6">
        <f t="shared" si="20"/>
        <v>0</v>
      </c>
      <c r="BJ38" s="6">
        <f t="shared" si="21"/>
        <v>0</v>
      </c>
      <c r="BL38" s="87">
        <f t="shared" si="22"/>
        <v>0</v>
      </c>
      <c r="BM38" s="87">
        <f t="shared" si="23"/>
        <v>0</v>
      </c>
      <c r="BN38" s="87">
        <f t="shared" si="24"/>
        <v>0</v>
      </c>
      <c r="BO38" s="87">
        <f t="shared" si="25"/>
        <v>0</v>
      </c>
      <c r="BP38" s="87">
        <f t="shared" si="26"/>
        <v>0</v>
      </c>
      <c r="BQ38" s="87">
        <f t="shared" si="27"/>
        <v>0</v>
      </c>
    </row>
    <row r="39" spans="1:69" ht="12.75" customHeight="1">
      <c r="A39" s="133"/>
      <c r="B39" s="134"/>
      <c r="C39" s="135"/>
      <c r="D39" s="136"/>
      <c r="E39" s="137">
        <f t="shared" si="2"/>
      </c>
      <c r="F39" s="137">
        <f t="shared" si="3"/>
      </c>
      <c r="G39" s="185"/>
      <c r="H39" s="138">
        <f>SUMIF(time100,D39,data!$M$16:$M$21)</f>
        <v>0</v>
      </c>
      <c r="I39" s="139">
        <f t="shared" si="4"/>
        <v>0</v>
      </c>
      <c r="J39" s="248">
        <f t="shared" si="1"/>
        <v>0</v>
      </c>
      <c r="K39" s="14" t="b">
        <f t="shared" si="5"/>
        <v>0</v>
      </c>
      <c r="L39" s="12">
        <f t="shared" si="6"/>
        <v>0</v>
      </c>
      <c r="M39" s="14" t="b">
        <f t="shared" si="7"/>
        <v>0</v>
      </c>
      <c r="N39" s="12">
        <f t="shared" si="8"/>
        <v>0</v>
      </c>
      <c r="O39" s="14" t="b">
        <f t="shared" si="9"/>
        <v>0</v>
      </c>
      <c r="P39" s="12">
        <f t="shared" si="10"/>
        <v>0</v>
      </c>
      <c r="Q39" s="14" t="b">
        <f t="shared" si="11"/>
        <v>0</v>
      </c>
      <c r="R39" s="12">
        <f t="shared" si="12"/>
        <v>0</v>
      </c>
      <c r="S39" s="14" t="b">
        <f t="shared" si="13"/>
        <v>0</v>
      </c>
      <c r="T39" s="12">
        <f t="shared" si="14"/>
        <v>0</v>
      </c>
      <c r="U39" s="14" t="b">
        <f t="shared" si="15"/>
        <v>0</v>
      </c>
      <c r="V39" s="12">
        <f t="shared" si="16"/>
        <v>0</v>
      </c>
      <c r="W39" s="179">
        <f>IF(BC39="",1,VLOOKUP(BC39,data!$C$3:$D$10,2,FALSE))*(1+BD39)</f>
        <v>1</v>
      </c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1"/>
      <c r="BD39" s="8"/>
      <c r="BE39" s="8"/>
      <c r="BF39" s="6">
        <f t="shared" si="17"/>
        <v>0</v>
      </c>
      <c r="BG39" s="6">
        <f t="shared" si="18"/>
        <v>0</v>
      </c>
      <c r="BH39" s="6">
        <f t="shared" si="19"/>
        <v>0</v>
      </c>
      <c r="BI39" s="6">
        <f t="shared" si="20"/>
        <v>0</v>
      </c>
      <c r="BJ39" s="6">
        <f t="shared" si="21"/>
        <v>0</v>
      </c>
      <c r="BL39" s="87">
        <f t="shared" si="22"/>
        <v>0</v>
      </c>
      <c r="BM39" s="87">
        <f t="shared" si="23"/>
        <v>0</v>
      </c>
      <c r="BN39" s="87">
        <f t="shared" si="24"/>
        <v>0</v>
      </c>
      <c r="BO39" s="87">
        <f t="shared" si="25"/>
        <v>0</v>
      </c>
      <c r="BP39" s="87">
        <f t="shared" si="26"/>
        <v>0</v>
      </c>
      <c r="BQ39" s="87">
        <f t="shared" si="27"/>
        <v>0</v>
      </c>
    </row>
    <row r="40" spans="1:69" ht="12.75" customHeight="1">
      <c r="A40" s="133"/>
      <c r="B40" s="134"/>
      <c r="C40" s="135"/>
      <c r="D40" s="136"/>
      <c r="E40" s="137">
        <f t="shared" si="2"/>
      </c>
      <c r="F40" s="137">
        <f t="shared" si="3"/>
      </c>
      <c r="G40" s="185"/>
      <c r="H40" s="138">
        <f>SUMIF(time100,D40,data!$M$16:$M$21)</f>
        <v>0</v>
      </c>
      <c r="I40" s="139">
        <f t="shared" si="4"/>
        <v>0</v>
      </c>
      <c r="J40" s="248">
        <f t="shared" si="1"/>
        <v>0</v>
      </c>
      <c r="K40" s="14" t="b">
        <f t="shared" si="5"/>
        <v>0</v>
      </c>
      <c r="L40" s="12">
        <f t="shared" si="6"/>
        <v>0</v>
      </c>
      <c r="M40" s="14" t="b">
        <f t="shared" si="7"/>
        <v>0</v>
      </c>
      <c r="N40" s="12">
        <f t="shared" si="8"/>
        <v>0</v>
      </c>
      <c r="O40" s="14" t="b">
        <f t="shared" si="9"/>
        <v>0</v>
      </c>
      <c r="P40" s="12">
        <f t="shared" si="10"/>
        <v>0</v>
      </c>
      <c r="Q40" s="14" t="b">
        <f t="shared" si="11"/>
        <v>0</v>
      </c>
      <c r="R40" s="12">
        <f t="shared" si="12"/>
        <v>0</v>
      </c>
      <c r="S40" s="14" t="b">
        <f t="shared" si="13"/>
        <v>0</v>
      </c>
      <c r="T40" s="12">
        <f t="shared" si="14"/>
        <v>0</v>
      </c>
      <c r="U40" s="14" t="b">
        <f t="shared" si="15"/>
        <v>0</v>
      </c>
      <c r="V40" s="12">
        <f t="shared" si="16"/>
        <v>0</v>
      </c>
      <c r="W40" s="179">
        <f>IF(BC40="",1,VLOOKUP(BC40,data!$C$3:$D$10,2,FALSE))*(1+BD40)</f>
        <v>1</v>
      </c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1"/>
      <c r="BD40" s="8"/>
      <c r="BE40" s="8"/>
      <c r="BF40" s="6">
        <f t="shared" si="17"/>
        <v>0</v>
      </c>
      <c r="BG40" s="6">
        <f t="shared" si="18"/>
        <v>0</v>
      </c>
      <c r="BH40" s="6">
        <f t="shared" si="19"/>
        <v>0</v>
      </c>
      <c r="BI40" s="6">
        <f t="shared" si="20"/>
        <v>0</v>
      </c>
      <c r="BJ40" s="6">
        <f t="shared" si="21"/>
        <v>0</v>
      </c>
      <c r="BL40" s="87">
        <f t="shared" si="22"/>
        <v>0</v>
      </c>
      <c r="BM40" s="87">
        <f t="shared" si="23"/>
        <v>0</v>
      </c>
      <c r="BN40" s="87">
        <f t="shared" si="24"/>
        <v>0</v>
      </c>
      <c r="BO40" s="87">
        <f t="shared" si="25"/>
        <v>0</v>
      </c>
      <c r="BP40" s="87">
        <f t="shared" si="26"/>
        <v>0</v>
      </c>
      <c r="BQ40" s="87">
        <f t="shared" si="27"/>
        <v>0</v>
      </c>
    </row>
    <row r="41" spans="1:69" ht="12.75" customHeight="1">
      <c r="A41" s="133"/>
      <c r="B41" s="134"/>
      <c r="C41" s="135"/>
      <c r="D41" s="136"/>
      <c r="E41" s="137">
        <f t="shared" si="2"/>
      </c>
      <c r="F41" s="137">
        <f t="shared" si="3"/>
      </c>
      <c r="G41" s="185"/>
      <c r="H41" s="138">
        <f>SUMIF(time100,D41,data!$M$16:$M$21)</f>
        <v>0</v>
      </c>
      <c r="I41" s="139">
        <f t="shared" si="4"/>
        <v>0</v>
      </c>
      <c r="J41" s="248">
        <f t="shared" si="1"/>
        <v>0</v>
      </c>
      <c r="K41" s="14" t="b">
        <f t="shared" si="5"/>
        <v>0</v>
      </c>
      <c r="L41" s="12">
        <f t="shared" si="6"/>
        <v>0</v>
      </c>
      <c r="M41" s="14" t="b">
        <f t="shared" si="7"/>
        <v>0</v>
      </c>
      <c r="N41" s="12">
        <f t="shared" si="8"/>
        <v>0</v>
      </c>
      <c r="O41" s="14" t="b">
        <f t="shared" si="9"/>
        <v>0</v>
      </c>
      <c r="P41" s="12">
        <f t="shared" si="10"/>
        <v>0</v>
      </c>
      <c r="Q41" s="14" t="b">
        <f t="shared" si="11"/>
        <v>0</v>
      </c>
      <c r="R41" s="12">
        <f t="shared" si="12"/>
        <v>0</v>
      </c>
      <c r="S41" s="14" t="b">
        <f t="shared" si="13"/>
        <v>0</v>
      </c>
      <c r="T41" s="12">
        <f t="shared" si="14"/>
        <v>0</v>
      </c>
      <c r="U41" s="14" t="b">
        <f t="shared" si="15"/>
        <v>0</v>
      </c>
      <c r="V41" s="12">
        <f t="shared" si="16"/>
        <v>0</v>
      </c>
      <c r="W41" s="179">
        <f>IF(BC41="",1,VLOOKUP(BC41,data!$C$3:$D$10,2,FALSE))*(1+BD41)</f>
        <v>1</v>
      </c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1"/>
      <c r="BD41" s="8"/>
      <c r="BE41" s="8"/>
      <c r="BF41" s="6">
        <f t="shared" si="17"/>
        <v>0</v>
      </c>
      <c r="BG41" s="6">
        <f t="shared" si="18"/>
        <v>0</v>
      </c>
      <c r="BH41" s="6">
        <f t="shared" si="19"/>
        <v>0</v>
      </c>
      <c r="BI41" s="6">
        <f t="shared" si="20"/>
        <v>0</v>
      </c>
      <c r="BJ41" s="6">
        <f t="shared" si="21"/>
        <v>0</v>
      </c>
      <c r="BL41" s="87">
        <f t="shared" si="22"/>
        <v>0</v>
      </c>
      <c r="BM41" s="87">
        <f t="shared" si="23"/>
        <v>0</v>
      </c>
      <c r="BN41" s="87">
        <f t="shared" si="24"/>
        <v>0</v>
      </c>
      <c r="BO41" s="87">
        <f t="shared" si="25"/>
        <v>0</v>
      </c>
      <c r="BP41" s="87">
        <f t="shared" si="26"/>
        <v>0</v>
      </c>
      <c r="BQ41" s="87">
        <f t="shared" si="27"/>
        <v>0</v>
      </c>
    </row>
    <row r="42" spans="1:69" ht="12.75" customHeight="1">
      <c r="A42" s="133"/>
      <c r="B42" s="134"/>
      <c r="C42" s="135"/>
      <c r="D42" s="136"/>
      <c r="E42" s="137">
        <f t="shared" si="2"/>
      </c>
      <c r="F42" s="137">
        <f t="shared" si="3"/>
      </c>
      <c r="G42" s="185"/>
      <c r="H42" s="138">
        <f>SUMIF(time100,D42,data!$M$16:$M$21)</f>
        <v>0</v>
      </c>
      <c r="I42" s="139">
        <f t="shared" si="4"/>
        <v>0</v>
      </c>
      <c r="J42" s="248">
        <f t="shared" si="1"/>
        <v>0</v>
      </c>
      <c r="K42" s="14" t="b">
        <f t="shared" si="5"/>
        <v>0</v>
      </c>
      <c r="L42" s="12">
        <f t="shared" si="6"/>
        <v>0</v>
      </c>
      <c r="M42" s="14" t="b">
        <f t="shared" si="7"/>
        <v>0</v>
      </c>
      <c r="N42" s="12">
        <f t="shared" si="8"/>
        <v>0</v>
      </c>
      <c r="O42" s="14" t="b">
        <f t="shared" si="9"/>
        <v>0</v>
      </c>
      <c r="P42" s="12">
        <f t="shared" si="10"/>
        <v>0</v>
      </c>
      <c r="Q42" s="14" t="b">
        <f t="shared" si="11"/>
        <v>0</v>
      </c>
      <c r="R42" s="12">
        <f t="shared" si="12"/>
        <v>0</v>
      </c>
      <c r="S42" s="14" t="b">
        <f t="shared" si="13"/>
        <v>0</v>
      </c>
      <c r="T42" s="12">
        <f t="shared" si="14"/>
        <v>0</v>
      </c>
      <c r="U42" s="14" t="b">
        <f t="shared" si="15"/>
        <v>0</v>
      </c>
      <c r="V42" s="12">
        <f t="shared" si="16"/>
        <v>0</v>
      </c>
      <c r="W42" s="179">
        <f>IF(BC42="",1,VLOOKUP(BC42,data!$C$3:$D$10,2,FALSE))*(1+BD42)</f>
        <v>1</v>
      </c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66"/>
      <c r="AK42" s="66"/>
      <c r="AL42" s="66"/>
      <c r="AM42" s="66"/>
      <c r="AN42" s="66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66"/>
      <c r="BB42" s="66"/>
      <c r="BC42" s="1"/>
      <c r="BD42" s="8"/>
      <c r="BE42" s="8"/>
      <c r="BF42" s="6">
        <f t="shared" si="17"/>
        <v>0</v>
      </c>
      <c r="BG42" s="6">
        <f t="shared" si="18"/>
        <v>0</v>
      </c>
      <c r="BH42" s="6">
        <f t="shared" si="19"/>
        <v>0</v>
      </c>
      <c r="BI42" s="6">
        <f t="shared" si="20"/>
        <v>0</v>
      </c>
      <c r="BJ42" s="6">
        <f t="shared" si="21"/>
        <v>0</v>
      </c>
      <c r="BL42" s="87">
        <f t="shared" si="22"/>
        <v>0</v>
      </c>
      <c r="BM42" s="87">
        <f t="shared" si="23"/>
        <v>0</v>
      </c>
      <c r="BN42" s="87">
        <f t="shared" si="24"/>
        <v>0</v>
      </c>
      <c r="BO42" s="87">
        <f t="shared" si="25"/>
        <v>0</v>
      </c>
      <c r="BP42" s="87">
        <f t="shared" si="26"/>
        <v>0</v>
      </c>
      <c r="BQ42" s="87">
        <f t="shared" si="27"/>
        <v>0</v>
      </c>
    </row>
    <row r="43" spans="1:69" ht="12.75" customHeight="1">
      <c r="A43" s="133"/>
      <c r="B43" s="134"/>
      <c r="C43" s="135"/>
      <c r="D43" s="136"/>
      <c r="E43" s="137">
        <f t="shared" si="2"/>
      </c>
      <c r="F43" s="137">
        <f t="shared" si="3"/>
      </c>
      <c r="G43" s="185"/>
      <c r="H43" s="138">
        <f>SUMIF(time100,D43,data!$M$16:$M$21)</f>
        <v>0</v>
      </c>
      <c r="I43" s="139">
        <f t="shared" si="4"/>
        <v>0</v>
      </c>
      <c r="J43" s="248">
        <f t="shared" si="1"/>
        <v>0</v>
      </c>
      <c r="K43" s="14" t="b">
        <f t="shared" si="5"/>
        <v>0</v>
      </c>
      <c r="L43" s="12">
        <f t="shared" si="6"/>
        <v>0</v>
      </c>
      <c r="M43" s="14" t="b">
        <f t="shared" si="7"/>
        <v>0</v>
      </c>
      <c r="N43" s="12">
        <f t="shared" si="8"/>
        <v>0</v>
      </c>
      <c r="O43" s="14" t="b">
        <f t="shared" si="9"/>
        <v>0</v>
      </c>
      <c r="P43" s="12">
        <f t="shared" si="10"/>
        <v>0</v>
      </c>
      <c r="Q43" s="14" t="b">
        <f t="shared" si="11"/>
        <v>0</v>
      </c>
      <c r="R43" s="12">
        <f t="shared" si="12"/>
        <v>0</v>
      </c>
      <c r="S43" s="14" t="b">
        <f t="shared" si="13"/>
        <v>0</v>
      </c>
      <c r="T43" s="12">
        <f t="shared" si="14"/>
        <v>0</v>
      </c>
      <c r="U43" s="14" t="b">
        <f t="shared" si="15"/>
        <v>0</v>
      </c>
      <c r="V43" s="12">
        <f t="shared" si="16"/>
        <v>0</v>
      </c>
      <c r="W43" s="179">
        <f>IF(BC43="",1,VLOOKUP(BC43,data!$C$3:$D$10,2,FALSE))*(1+BD43)</f>
        <v>1</v>
      </c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66"/>
      <c r="BB43" s="66"/>
      <c r="BC43" s="1"/>
      <c r="BD43" s="8"/>
      <c r="BE43" s="8"/>
      <c r="BF43" s="6">
        <f t="shared" si="17"/>
        <v>0</v>
      </c>
      <c r="BG43" s="6">
        <f t="shared" si="18"/>
        <v>0</v>
      </c>
      <c r="BH43" s="6">
        <f t="shared" si="19"/>
        <v>0</v>
      </c>
      <c r="BI43" s="6">
        <f t="shared" si="20"/>
        <v>0</v>
      </c>
      <c r="BJ43" s="6">
        <f t="shared" si="21"/>
        <v>0</v>
      </c>
      <c r="BL43" s="87">
        <f t="shared" si="22"/>
        <v>0</v>
      </c>
      <c r="BM43" s="87">
        <f t="shared" si="23"/>
        <v>0</v>
      </c>
      <c r="BN43" s="87">
        <f t="shared" si="24"/>
        <v>0</v>
      </c>
      <c r="BO43" s="87">
        <f t="shared" si="25"/>
        <v>0</v>
      </c>
      <c r="BP43" s="87">
        <f t="shared" si="26"/>
        <v>0</v>
      </c>
      <c r="BQ43" s="87">
        <f t="shared" si="27"/>
        <v>0</v>
      </c>
    </row>
    <row r="44" spans="1:69" ht="12.75" customHeight="1">
      <c r="A44" s="133"/>
      <c r="B44" s="134"/>
      <c r="C44" s="135"/>
      <c r="D44" s="136"/>
      <c r="E44" s="137">
        <f t="shared" si="2"/>
      </c>
      <c r="F44" s="137">
        <f t="shared" si="3"/>
      </c>
      <c r="G44" s="185"/>
      <c r="H44" s="138">
        <f>SUMIF(time100,D44,data!$M$16:$M$21)</f>
        <v>0</v>
      </c>
      <c r="I44" s="139">
        <f t="shared" si="4"/>
        <v>0</v>
      </c>
      <c r="J44" s="248">
        <f t="shared" si="1"/>
        <v>0</v>
      </c>
      <c r="K44" s="14" t="b">
        <f t="shared" si="5"/>
        <v>0</v>
      </c>
      <c r="L44" s="12">
        <f t="shared" si="6"/>
        <v>0</v>
      </c>
      <c r="M44" s="14" t="b">
        <f t="shared" si="7"/>
        <v>0</v>
      </c>
      <c r="N44" s="12">
        <f t="shared" si="8"/>
        <v>0</v>
      </c>
      <c r="O44" s="14" t="b">
        <f t="shared" si="9"/>
        <v>0</v>
      </c>
      <c r="P44" s="12">
        <f t="shared" si="10"/>
        <v>0</v>
      </c>
      <c r="Q44" s="14" t="b">
        <f t="shared" si="11"/>
        <v>0</v>
      </c>
      <c r="R44" s="12">
        <f t="shared" si="12"/>
        <v>0</v>
      </c>
      <c r="S44" s="14" t="b">
        <f t="shared" si="13"/>
        <v>0</v>
      </c>
      <c r="T44" s="12">
        <f t="shared" si="14"/>
        <v>0</v>
      </c>
      <c r="U44" s="14" t="b">
        <f t="shared" si="15"/>
        <v>0</v>
      </c>
      <c r="V44" s="12">
        <f t="shared" si="16"/>
        <v>0</v>
      </c>
      <c r="W44" s="179">
        <f>IF(BC44="",1,VLOOKUP(BC44,data!$C$3:$D$10,2,FALSE))*(1+BD44)</f>
        <v>1</v>
      </c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66"/>
      <c r="BB44" s="66"/>
      <c r="BC44" s="1"/>
      <c r="BD44" s="8"/>
      <c r="BE44" s="8"/>
      <c r="BF44" s="6">
        <f t="shared" si="17"/>
        <v>0</v>
      </c>
      <c r="BG44" s="6">
        <f t="shared" si="18"/>
        <v>0</v>
      </c>
      <c r="BH44" s="6">
        <f t="shared" si="19"/>
        <v>0</v>
      </c>
      <c r="BI44" s="6">
        <f t="shared" si="20"/>
        <v>0</v>
      </c>
      <c r="BJ44" s="6">
        <f t="shared" si="21"/>
        <v>0</v>
      </c>
      <c r="BL44" s="87">
        <f t="shared" si="22"/>
        <v>0</v>
      </c>
      <c r="BM44" s="87">
        <f t="shared" si="23"/>
        <v>0</v>
      </c>
      <c r="BN44" s="87">
        <f t="shared" si="24"/>
        <v>0</v>
      </c>
      <c r="BO44" s="87">
        <f t="shared" si="25"/>
        <v>0</v>
      </c>
      <c r="BP44" s="87">
        <f t="shared" si="26"/>
        <v>0</v>
      </c>
      <c r="BQ44" s="87">
        <f t="shared" si="27"/>
        <v>0</v>
      </c>
    </row>
    <row r="45" spans="1:69" ht="0.75" customHeight="1">
      <c r="A45" s="9"/>
      <c r="B45" s="57"/>
      <c r="C45" s="58"/>
      <c r="D45" s="59"/>
      <c r="E45" s="60"/>
      <c r="F45" s="60"/>
      <c r="G45" s="18"/>
      <c r="H45" s="6"/>
      <c r="I45" s="6"/>
      <c r="J45" s="6"/>
      <c r="K45" s="14"/>
      <c r="L45" s="12"/>
      <c r="M45" s="14"/>
      <c r="N45" s="12"/>
      <c r="O45" s="14" t="b">
        <f t="shared" si="9"/>
        <v>0</v>
      </c>
      <c r="P45" s="12">
        <f>COUNTIF(X45:BA45,$E$6)</f>
        <v>0</v>
      </c>
      <c r="Q45" s="14" t="b">
        <f t="shared" si="11"/>
        <v>0</v>
      </c>
      <c r="R45" s="12"/>
      <c r="S45" s="14"/>
      <c r="T45" s="12">
        <f t="shared" si="14"/>
        <v>0</v>
      </c>
      <c r="U45" s="14"/>
      <c r="V45" s="12">
        <f>COUNTIF(X45:BA45,$E$9)</f>
        <v>0</v>
      </c>
      <c r="W45" s="13"/>
      <c r="X45" s="61"/>
      <c r="Y45" s="61"/>
      <c r="Z45" s="61"/>
      <c r="AA45" s="61"/>
      <c r="AB45" s="62"/>
      <c r="AC45" s="61"/>
      <c r="AD45" s="61"/>
      <c r="AE45" s="61"/>
      <c r="AF45" s="61"/>
      <c r="AG45" s="61"/>
      <c r="AH45" s="61"/>
      <c r="AI45" s="62"/>
      <c r="AJ45" s="61"/>
      <c r="AK45" s="61"/>
      <c r="AL45" s="61"/>
      <c r="AM45" s="61"/>
      <c r="AN45" s="61"/>
      <c r="AO45" s="61"/>
      <c r="AP45" s="62"/>
      <c r="AQ45" s="61"/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9"/>
      <c r="BD45" s="63"/>
      <c r="BE45" s="64"/>
      <c r="BF45" s="65"/>
      <c r="BG45" s="65"/>
      <c r="BH45" s="6"/>
      <c r="BI45" s="6"/>
      <c r="BJ45" s="6"/>
      <c r="BL45" s="26"/>
      <c r="BM45" s="26"/>
      <c r="BN45" s="26"/>
      <c r="BO45" s="26"/>
      <c r="BP45" s="26"/>
      <c r="BQ45" s="26"/>
    </row>
    <row r="46" spans="1:69" ht="12.75" customHeight="1">
      <c r="A46" s="16"/>
      <c r="B46" s="9"/>
      <c r="C46" s="9"/>
      <c r="D46" s="17"/>
      <c r="E46" s="17"/>
      <c r="F46" s="17"/>
      <c r="G46" s="18"/>
      <c r="H46" s="170" t="str">
        <f>IF($B$2="BG","Тотал:","Total:")</f>
        <v>Тотал:</v>
      </c>
      <c r="I46" s="170">
        <f>SUM(I13:I45)</f>
        <v>0</v>
      </c>
      <c r="J46" s="174">
        <f>SUM(J13:J44)</f>
        <v>0</v>
      </c>
      <c r="K46" s="170"/>
      <c r="L46" s="170">
        <f>SUM(L13:L44)</f>
        <v>0</v>
      </c>
      <c r="M46" s="170"/>
      <c r="N46" s="170">
        <f>SUM(N13:N44)</f>
        <v>0</v>
      </c>
      <c r="O46" s="170"/>
      <c r="P46" s="170">
        <f>SUM(P13:P44)</f>
        <v>0</v>
      </c>
      <c r="Q46" s="170"/>
      <c r="R46" s="170">
        <f>SUM(R13:R44)</f>
        <v>0</v>
      </c>
      <c r="S46" s="170"/>
      <c r="T46" s="170">
        <f>SUM(T13:T44)</f>
        <v>0</v>
      </c>
      <c r="U46" s="170"/>
      <c r="V46" s="170">
        <f>SUM(V13:V44)</f>
        <v>0</v>
      </c>
      <c r="W46" s="19"/>
      <c r="X46" s="168">
        <f aca="true" t="shared" si="28" ref="X46:BB46">COUNTA(X13:X44)</f>
        <v>0</v>
      </c>
      <c r="Y46" s="168">
        <f t="shared" si="28"/>
        <v>0</v>
      </c>
      <c r="Z46" s="168">
        <f t="shared" si="28"/>
        <v>0</v>
      </c>
      <c r="AA46" s="168">
        <f t="shared" si="28"/>
        <v>0</v>
      </c>
      <c r="AB46" s="168">
        <f t="shared" si="28"/>
        <v>0</v>
      </c>
      <c r="AC46" s="168">
        <f t="shared" si="28"/>
        <v>0</v>
      </c>
      <c r="AD46" s="168">
        <f t="shared" si="28"/>
        <v>0</v>
      </c>
      <c r="AE46" s="168">
        <f t="shared" si="28"/>
        <v>0</v>
      </c>
      <c r="AF46" s="168">
        <f t="shared" si="28"/>
        <v>0</v>
      </c>
      <c r="AG46" s="168">
        <f t="shared" si="28"/>
        <v>0</v>
      </c>
      <c r="AH46" s="168">
        <f t="shared" si="28"/>
        <v>0</v>
      </c>
      <c r="AI46" s="168">
        <f t="shared" si="28"/>
        <v>0</v>
      </c>
      <c r="AJ46" s="168">
        <f t="shared" si="28"/>
        <v>0</v>
      </c>
      <c r="AK46" s="168">
        <f t="shared" si="28"/>
        <v>0</v>
      </c>
      <c r="AL46" s="168">
        <f t="shared" si="28"/>
        <v>0</v>
      </c>
      <c r="AM46" s="168">
        <f t="shared" si="28"/>
        <v>0</v>
      </c>
      <c r="AN46" s="168">
        <f t="shared" si="28"/>
        <v>0</v>
      </c>
      <c r="AO46" s="168">
        <f t="shared" si="28"/>
        <v>0</v>
      </c>
      <c r="AP46" s="168">
        <f t="shared" si="28"/>
        <v>0</v>
      </c>
      <c r="AQ46" s="168">
        <f t="shared" si="28"/>
        <v>0</v>
      </c>
      <c r="AR46" s="168">
        <f t="shared" si="28"/>
        <v>0</v>
      </c>
      <c r="AS46" s="168">
        <f t="shared" si="28"/>
        <v>0</v>
      </c>
      <c r="AT46" s="168">
        <f t="shared" si="28"/>
        <v>0</v>
      </c>
      <c r="AU46" s="168">
        <f t="shared" si="28"/>
        <v>0</v>
      </c>
      <c r="AV46" s="168">
        <f t="shared" si="28"/>
        <v>0</v>
      </c>
      <c r="AW46" s="168">
        <f t="shared" si="28"/>
        <v>0</v>
      </c>
      <c r="AX46" s="168">
        <f t="shared" si="28"/>
        <v>0</v>
      </c>
      <c r="AY46" s="168">
        <f t="shared" si="28"/>
        <v>0</v>
      </c>
      <c r="AZ46" s="168">
        <f t="shared" si="28"/>
        <v>0</v>
      </c>
      <c r="BA46" s="168">
        <f t="shared" si="28"/>
        <v>0</v>
      </c>
      <c r="BB46" s="168">
        <f t="shared" si="28"/>
        <v>0</v>
      </c>
      <c r="BC46" s="9"/>
      <c r="BD46" s="9"/>
      <c r="BE46" s="10"/>
      <c r="BF46" s="165">
        <f>SUM(BF13:BF44)</f>
        <v>0</v>
      </c>
      <c r="BG46" s="165">
        <f>SUM(BG13:BG44)</f>
        <v>0</v>
      </c>
      <c r="BH46" s="165">
        <f>SUM(BH13:BH44)</f>
        <v>0</v>
      </c>
      <c r="BI46" s="165">
        <f>SUM(BI13:BI44)</f>
        <v>0</v>
      </c>
      <c r="BJ46" s="165">
        <f>SUM(BJ13:BJ44)</f>
        <v>0</v>
      </c>
      <c r="BL46" s="26"/>
      <c r="BM46" s="26"/>
      <c r="BN46" s="26"/>
      <c r="BO46" s="26"/>
      <c r="BP46" s="26"/>
      <c r="BQ46" s="26"/>
    </row>
    <row r="47" spans="1:62" ht="10.5" customHeight="1">
      <c r="A47" s="10"/>
      <c r="B47" s="10"/>
      <c r="C47" s="11"/>
      <c r="D47" s="11"/>
      <c r="E47" s="11"/>
      <c r="F47" s="11"/>
      <c r="G47" s="11"/>
      <c r="H47" s="341" t="str">
        <f>IF($B$2="BG","Бюджет по седмици","Budget per week")</f>
        <v>Бюджет по седмици</v>
      </c>
      <c r="I47" s="342"/>
      <c r="J47" s="342"/>
      <c r="K47"/>
      <c r="L47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67"/>
      <c r="X47" s="338">
        <f>SUM(BL13:BL44)</f>
        <v>0</v>
      </c>
      <c r="Y47" s="338"/>
      <c r="Z47" s="338"/>
      <c r="AA47" s="338">
        <f>SUM(BM13:BM44)</f>
        <v>0</v>
      </c>
      <c r="AB47" s="338"/>
      <c r="AC47" s="338"/>
      <c r="AD47" s="338"/>
      <c r="AE47" s="338"/>
      <c r="AF47" s="338"/>
      <c r="AG47" s="338"/>
      <c r="AH47" s="338">
        <f>SUM(BN13:BN44)</f>
        <v>0</v>
      </c>
      <c r="AI47" s="338"/>
      <c r="AJ47" s="338"/>
      <c r="AK47" s="338"/>
      <c r="AL47" s="338"/>
      <c r="AM47" s="338"/>
      <c r="AN47" s="338"/>
      <c r="AO47" s="338">
        <f>SUM(BO13:BO44)</f>
        <v>0</v>
      </c>
      <c r="AP47" s="338"/>
      <c r="AQ47" s="338"/>
      <c r="AR47" s="338"/>
      <c r="AS47" s="338"/>
      <c r="AT47" s="338"/>
      <c r="AU47" s="338"/>
      <c r="AV47" s="345">
        <f>SUM(BP13:BP44)</f>
        <v>0</v>
      </c>
      <c r="AW47" s="346"/>
      <c r="AX47" s="346"/>
      <c r="AY47" s="346"/>
      <c r="AZ47" s="346"/>
      <c r="BA47" s="346"/>
      <c r="BB47" s="347"/>
      <c r="BC47" s="11"/>
      <c r="BD47" s="11"/>
      <c r="BE47" s="11"/>
      <c r="BF47" s="11"/>
      <c r="BG47" s="11"/>
      <c r="BH47" s="11"/>
      <c r="BI47" s="11"/>
      <c r="BJ47" s="11"/>
    </row>
    <row r="48" spans="1:62" ht="10.5" customHeight="1">
      <c r="A48" s="11"/>
      <c r="B48" s="11"/>
      <c r="C48" s="11"/>
      <c r="D48" s="11"/>
      <c r="E48" s="11"/>
      <c r="F48" s="11"/>
      <c r="G48" s="11"/>
      <c r="H48" s="339" t="str">
        <f>IF($B$2="BG","Брой излъчвания по седмици","Number per week")</f>
        <v>Брой излъчвания по седмици</v>
      </c>
      <c r="I48" s="340"/>
      <c r="J48" s="340"/>
      <c r="K48"/>
      <c r="L48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67"/>
      <c r="X48" s="338">
        <f>SUM(X46:Z46)</f>
        <v>0</v>
      </c>
      <c r="Y48" s="338"/>
      <c r="Z48" s="338"/>
      <c r="AA48" s="338">
        <f>SUM(AA46:AG46)</f>
        <v>0</v>
      </c>
      <c r="AB48" s="338"/>
      <c r="AC48" s="338"/>
      <c r="AD48" s="338"/>
      <c r="AE48" s="338"/>
      <c r="AF48" s="338"/>
      <c r="AG48" s="338"/>
      <c r="AH48" s="338">
        <f>SUM(AH46:AN46)</f>
        <v>0</v>
      </c>
      <c r="AI48" s="338"/>
      <c r="AJ48" s="338"/>
      <c r="AK48" s="338"/>
      <c r="AL48" s="338"/>
      <c r="AM48" s="338"/>
      <c r="AN48" s="338"/>
      <c r="AO48" s="338">
        <f>SUM(AO46:AU46,)</f>
        <v>0</v>
      </c>
      <c r="AP48" s="338"/>
      <c r="AQ48" s="338"/>
      <c r="AR48" s="338"/>
      <c r="AS48" s="338"/>
      <c r="AT48" s="338"/>
      <c r="AU48" s="338"/>
      <c r="AV48" s="345">
        <f>SUM(AV46:BB46,)</f>
        <v>0</v>
      </c>
      <c r="AW48" s="346"/>
      <c r="AX48" s="346"/>
      <c r="AY48" s="346"/>
      <c r="AZ48" s="346"/>
      <c r="BA48" s="346"/>
      <c r="BB48" s="347"/>
      <c r="BC48" s="11"/>
      <c r="BD48" s="11"/>
      <c r="BE48" s="11"/>
      <c r="BF48" s="11"/>
      <c r="BG48" s="11"/>
      <c r="BH48" s="11"/>
      <c r="BI48" s="11"/>
      <c r="BJ48" s="11"/>
    </row>
    <row r="49" spans="8:54" ht="10.5" customHeight="1">
      <c r="H49" s="339" t="str">
        <f>IF($B$2="BG","Обща сума утежнения","Total surcharge")</f>
        <v>Обща сума утежнения</v>
      </c>
      <c r="I49" s="339"/>
      <c r="J49" s="339"/>
      <c r="K49"/>
      <c r="L49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338">
        <f>BJ46</f>
        <v>0</v>
      </c>
      <c r="Y49" s="338"/>
      <c r="Z49" s="338"/>
      <c r="AA49" s="338"/>
      <c r="AB49" s="338"/>
      <c r="AC49" s="338"/>
      <c r="AD49" s="338"/>
      <c r="AE49" s="338"/>
      <c r="AF49" s="338"/>
      <c r="AG49" s="338"/>
      <c r="AH49" s="338"/>
      <c r="AI49" s="338"/>
      <c r="AJ49" s="338"/>
      <c r="AK49" s="338"/>
      <c r="AL49" s="338"/>
      <c r="AM49" s="338"/>
      <c r="AN49" s="338"/>
      <c r="AO49" s="338"/>
      <c r="AP49" s="338"/>
      <c r="AQ49" s="338"/>
      <c r="AR49" s="338"/>
      <c r="AS49" s="338"/>
      <c r="AT49" s="338"/>
      <c r="AU49" s="338"/>
      <c r="AV49" s="338"/>
      <c r="AW49" s="338"/>
      <c r="AX49" s="338"/>
      <c r="AY49" s="338"/>
      <c r="AZ49" s="338"/>
      <c r="BA49" s="338"/>
      <c r="BB49" s="338"/>
    </row>
    <row r="50" spans="1:10" ht="17.25" customHeight="1">
      <c r="A50" s="328" t="str">
        <f>IF($B$2="BG","Отстъпки","Discounts")</f>
        <v>Отстъпки</v>
      </c>
      <c r="B50" s="162" t="str">
        <f>IF($B$2="BG","Брутна сума","Gross budget")</f>
        <v>Брутна сума</v>
      </c>
      <c r="H50" s="21"/>
      <c r="I50" s="21"/>
      <c r="J50" s="21"/>
    </row>
    <row r="51" spans="1:59" ht="17.25" customHeight="1">
      <c r="A51" s="329"/>
      <c r="B51" s="173">
        <f>J46</f>
        <v>0</v>
      </c>
      <c r="C51" s="331" t="str">
        <f>IF($B$2="BG","Разпределение на бюджета по канали и PT/OPT","Budget Distribution by Channel and PT/OPT")</f>
        <v>Разпределение на бюджета по канали и PT/OPT</v>
      </c>
      <c r="D51" s="332"/>
      <c r="E51" s="332"/>
      <c r="F51" s="332"/>
      <c r="G51" s="332"/>
      <c r="H51" s="332"/>
      <c r="I51" s="333"/>
      <c r="J51" s="21"/>
      <c r="K51" s="21"/>
      <c r="L51" s="21"/>
      <c r="M51" s="21"/>
      <c r="N51" s="21"/>
      <c r="O51" s="21"/>
      <c r="P51" s="21"/>
      <c r="Q51" s="21"/>
      <c r="R51" s="21"/>
      <c r="S51" s="21"/>
      <c r="BA51" s="21"/>
      <c r="BB51" s="21"/>
      <c r="BC51" s="21"/>
      <c r="BD51" s="21"/>
      <c r="BE51" s="21"/>
      <c r="BF51" s="21"/>
      <c r="BG51" s="21"/>
    </row>
    <row r="52" spans="1:59" ht="14.25" customHeight="1">
      <c r="A52" s="190" t="str">
        <f>IF($B$2="BG","Отстъпки","Discounts")</f>
        <v>Отстъпки</v>
      </c>
      <c r="B52" s="196"/>
      <c r="C52" s="334"/>
      <c r="D52" s="335"/>
      <c r="E52" s="335"/>
      <c r="F52" s="335"/>
      <c r="G52" s="335"/>
      <c r="H52" s="335"/>
      <c r="I52" s="336"/>
      <c r="J52" s="21"/>
      <c r="K52" s="21"/>
      <c r="L52" s="21"/>
      <c r="M52" s="21"/>
      <c r="N52" s="21"/>
      <c r="O52" s="21"/>
      <c r="P52" s="21"/>
      <c r="Q52" s="21"/>
      <c r="R52" s="21"/>
      <c r="S52" s="21"/>
      <c r="BA52" s="21"/>
      <c r="BB52" s="21"/>
      <c r="BC52" s="21"/>
      <c r="BD52" s="21"/>
      <c r="BE52" s="21"/>
      <c r="BF52" s="21"/>
      <c r="BG52" s="21"/>
    </row>
    <row r="53" spans="1:59" ht="14.25" customHeight="1">
      <c r="A53" s="190" t="str">
        <f>IF($B$2="BG","Отстъпки","Discounts")</f>
        <v>Отстъпки</v>
      </c>
      <c r="B53" s="196"/>
      <c r="C53" s="330" t="str">
        <f>IF($B$2="BG","Канал","Channel")</f>
        <v>Канал</v>
      </c>
      <c r="D53" s="330" t="str">
        <f>IF($B$2="BG","Брутен бюджет","Gross budget")</f>
        <v>Брутен бюджет</v>
      </c>
      <c r="E53" s="328" t="str">
        <f>IF($B$2="BG","% от общия бюджет","Channel distribution %")</f>
        <v>% от общия бюджет</v>
      </c>
      <c r="F53" s="330" t="str">
        <f>IF($B$2="BG","Бюджет в ПТ","Budget in PT")</f>
        <v>Бюджет в ПТ</v>
      </c>
      <c r="G53" s="330" t="str">
        <f>IF($B$2="BG","Бюджет в ОПТ","Budget in OPT")</f>
        <v>Бюджет в ОПТ</v>
      </c>
      <c r="H53" s="330" t="s">
        <v>50</v>
      </c>
      <c r="I53" s="330" t="s">
        <v>51</v>
      </c>
      <c r="K53" s="21"/>
      <c r="L53" s="21"/>
      <c r="M53" s="21"/>
      <c r="N53" s="21"/>
      <c r="O53" s="21"/>
      <c r="P53" s="21"/>
      <c r="Q53" s="21"/>
      <c r="R53" s="21"/>
      <c r="S53" s="21"/>
      <c r="BA53" s="21"/>
      <c r="BB53" s="21"/>
      <c r="BC53" s="21"/>
      <c r="BD53" s="21"/>
      <c r="BE53" s="21"/>
      <c r="BF53" s="21"/>
      <c r="BG53" s="21"/>
    </row>
    <row r="54" spans="1:59" ht="14.25" customHeight="1">
      <c r="A54" s="194" t="str">
        <f>IF($B$2="BG","Общо отстъпки","Total Discounts")</f>
        <v>Общо отстъпки</v>
      </c>
      <c r="B54" s="197">
        <f>1-(1-B52)*(1-B53)</f>
        <v>0</v>
      </c>
      <c r="C54" s="330"/>
      <c r="D54" s="330"/>
      <c r="E54" s="337"/>
      <c r="F54" s="330"/>
      <c r="G54" s="330"/>
      <c r="H54" s="330"/>
      <c r="I54" s="330"/>
      <c r="K54" s="21"/>
      <c r="L54" s="21"/>
      <c r="M54" s="21"/>
      <c r="N54" s="21"/>
      <c r="O54" s="21"/>
      <c r="P54" s="21"/>
      <c r="Q54" s="21"/>
      <c r="R54" s="21"/>
      <c r="S54" s="21"/>
      <c r="BA54" s="21"/>
      <c r="BB54" s="21"/>
      <c r="BC54" s="21"/>
      <c r="BD54" s="21"/>
      <c r="BE54" s="21"/>
      <c r="BF54" s="21"/>
      <c r="BG54" s="21"/>
    </row>
    <row r="55" spans="1:59" ht="14.25" customHeight="1">
      <c r="A55" s="190" t="str">
        <f>IF($B$2="BG","Изработка на платен репортаж","Paid report Producement")</f>
        <v>Изработка на платен репортаж</v>
      </c>
      <c r="B55" s="198">
        <v>0</v>
      </c>
      <c r="C55" s="190" t="str">
        <f>IF($B$2="BG","БНТ 1 фикс. цени","BNT 1 fixed price")</f>
        <v>БНТ 1 фикс. цени</v>
      </c>
      <c r="D55" s="191">
        <f>БНТ1_fixed!B46</f>
        <v>0</v>
      </c>
      <c r="E55" s="192">
        <f>БНТ1_fixed!E50</f>
        <v>0</v>
      </c>
      <c r="F55" s="191">
        <f>БНТ1_fixed!F50</f>
        <v>0</v>
      </c>
      <c r="G55" s="191">
        <f>БНТ1_fixed!G50</f>
        <v>0</v>
      </c>
      <c r="H55" s="193">
        <f>БНТ1_fixed!H50</f>
        <v>0</v>
      </c>
      <c r="I55" s="193">
        <f>БНТ1_fixed!I50</f>
        <v>0</v>
      </c>
      <c r="K55" s="21"/>
      <c r="L55" s="21"/>
      <c r="M55" s="21"/>
      <c r="N55" s="21"/>
      <c r="O55" s="21"/>
      <c r="P55" s="21"/>
      <c r="Q55" s="21"/>
      <c r="R55" s="21"/>
      <c r="S55" s="21"/>
      <c r="BA55" s="21"/>
      <c r="BB55" s="21"/>
      <c r="BC55" s="21"/>
      <c r="BD55" s="21"/>
      <c r="BE55" s="21"/>
      <c r="BF55" s="21"/>
      <c r="BG55" s="21"/>
    </row>
    <row r="56" spans="1:59" ht="14.25" customHeight="1">
      <c r="A56" s="190" t="str">
        <f>IF($B$2="BG","Утежнения","Surcharge")</f>
        <v>Утежнения</v>
      </c>
      <c r="B56" s="198">
        <f>BH46</f>
        <v>0</v>
      </c>
      <c r="C56" s="190" t="str">
        <f>IF($B$2="BG","БНТ 2 фикс. цени","BNT 2 fixed")</f>
        <v>БНТ 2 фикс. цени</v>
      </c>
      <c r="D56" s="191">
        <f>'БНТ 2_fixed'!B37</f>
        <v>0</v>
      </c>
      <c r="E56" s="192">
        <f>'БНТ 2_fixed'!E42</f>
        <v>0</v>
      </c>
      <c r="F56" s="191">
        <f>'БНТ 2_fixed'!F42</f>
        <v>0</v>
      </c>
      <c r="G56" s="191">
        <f>'БНТ 2_fixed'!G42</f>
        <v>0</v>
      </c>
      <c r="H56" s="193">
        <f>'БНТ 2_fixed'!H42</f>
        <v>0</v>
      </c>
      <c r="I56" s="193">
        <f>'БНТ 2_fixed'!I42</f>
        <v>0</v>
      </c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BA56" s="21"/>
      <c r="BB56" s="21"/>
      <c r="BC56" s="21"/>
      <c r="BD56" s="21"/>
      <c r="BE56" s="21"/>
      <c r="BF56" s="21"/>
      <c r="BG56" s="21"/>
    </row>
    <row r="57" spans="1:59" ht="14.25" customHeight="1">
      <c r="A57" s="190" t="str">
        <f>IF($B$2="BG","Закъснение","Delay")</f>
        <v>Закъснение</v>
      </c>
      <c r="B57" s="198">
        <f>BI46</f>
        <v>0</v>
      </c>
      <c r="C57" s="190" t="str">
        <f>IF($B$2="BG","БНТ 3 фикс. цени","BNT 3 fixed")</f>
        <v>БНТ 3 фикс. цени</v>
      </c>
      <c r="D57" s="191">
        <f>'БНТ 3_Ffixed'!B48</f>
        <v>0</v>
      </c>
      <c r="E57" s="192">
        <f>'БНТ 3_Ffixed'!E54</f>
        <v>0</v>
      </c>
      <c r="F57" s="191">
        <f>'БНТ 3_Ffixed'!F54</f>
        <v>0</v>
      </c>
      <c r="G57" s="191">
        <f>'БНТ 3_Ffixed'!G54</f>
        <v>0</v>
      </c>
      <c r="H57" s="193" t="str">
        <f>'БНТ 3_Ffixed'!H54</f>
        <v>0%</v>
      </c>
      <c r="I57" s="193" t="str">
        <f>'БНТ 3_Ffixed'!I54</f>
        <v>0%</v>
      </c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BA57" s="21"/>
      <c r="BB57" s="21"/>
      <c r="BC57" s="21"/>
      <c r="BD57" s="21"/>
      <c r="BE57" s="21"/>
      <c r="BF57" s="21"/>
      <c r="BG57" s="21"/>
    </row>
    <row r="58" spans="1:23" ht="14.25" customHeight="1">
      <c r="A58" s="194" t="str">
        <f>IF($B$2="BG","Нетна сума без ДДС","Net budget without VAT")</f>
        <v>Нетна сума без ДДС</v>
      </c>
      <c r="B58" s="199">
        <f>(B51*(100%-B52)*(100%-B53)+B55+B57)</f>
        <v>0</v>
      </c>
      <c r="C58" s="190" t="str">
        <f>IF($B$2="BG","БНТ 4 фикс. цени","BNT 4 fixed")</f>
        <v>БНТ 4 фикс. цени</v>
      </c>
      <c r="D58" s="191">
        <f>B51</f>
        <v>0</v>
      </c>
      <c r="E58" s="192">
        <f>_xlfn.IFERROR(D58/$D$59,0)</f>
        <v>0</v>
      </c>
      <c r="F58" s="191">
        <f>_xlfn.IFERROR(SUMIF($F$13:$F$44,"PT",$J$13:$J$44),0)</f>
        <v>0</v>
      </c>
      <c r="G58" s="191">
        <f>_xlfn.IFERROR(SUMIF($F$13:$F$44,"OPT",$J$13:$J$44),0)</f>
        <v>0</v>
      </c>
      <c r="H58" s="193">
        <f>_xlfn.IFERROR(F58/J46,"0"%)</f>
        <v>0</v>
      </c>
      <c r="I58" s="193" t="str">
        <f>_xlfn.IFERROR(G58/J46,"0%")</f>
        <v>0%</v>
      </c>
      <c r="K58" s="21"/>
      <c r="L58" s="21"/>
      <c r="M58" s="21"/>
      <c r="N58" s="21"/>
      <c r="O58" s="21"/>
      <c r="P58" s="21"/>
      <c r="Q58" s="21"/>
      <c r="R58" s="21"/>
      <c r="S58" s="21"/>
      <c r="U58" s="21"/>
      <c r="V58" s="21"/>
      <c r="W58" s="21"/>
    </row>
    <row r="59" spans="1:23" ht="14.25" customHeight="1">
      <c r="A59" s="190" t="str">
        <f>IF($B$2="BG","ДДС","VAT")</f>
        <v>ДДС</v>
      </c>
      <c r="B59" s="200">
        <v>0.2</v>
      </c>
      <c r="C59" s="194" t="str">
        <f>IF($B$2="BG","Общо","Total")</f>
        <v>Общо</v>
      </c>
      <c r="D59" s="191">
        <f>SUM(D55:D58)</f>
        <v>0</v>
      </c>
      <c r="E59" s="192">
        <f>SUM(E55:E58)</f>
        <v>0</v>
      </c>
      <c r="F59" s="191">
        <f>SUM(F55:F58)</f>
        <v>0</v>
      </c>
      <c r="G59" s="191">
        <f>SUM(G55:G58)</f>
        <v>0</v>
      </c>
      <c r="H59" s="195">
        <f>IF(E59=0,"",(F59/D59))</f>
      </c>
      <c r="I59" s="195">
        <f>IF(E59=0,"",(G59/D59))</f>
      </c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</row>
    <row r="60" spans="1:23" ht="14.25" customHeight="1">
      <c r="A60" s="194" t="str">
        <f>IF($B$2="BG","Нетна сума с ДДС","Net budget with VAT")</f>
        <v>Нетна сума с ДДС</v>
      </c>
      <c r="B60" s="199">
        <f>B58+(B58*B59)</f>
        <v>0</v>
      </c>
      <c r="G60" s="21"/>
      <c r="H60" s="21"/>
      <c r="I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7"/>
    </row>
    <row r="61" spans="1:23" ht="12.75" customHeight="1">
      <c r="A61" s="188"/>
      <c r="B61" s="189"/>
      <c r="G61" s="21"/>
      <c r="H61" s="21"/>
      <c r="I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7"/>
    </row>
    <row r="62" spans="1:23" ht="12.75" customHeight="1">
      <c r="A62" s="188"/>
      <c r="B62" s="189"/>
      <c r="G62" s="21"/>
      <c r="H62" s="21"/>
      <c r="I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7"/>
    </row>
    <row r="63" spans="1:23" ht="12.75" customHeight="1">
      <c r="A63" s="21"/>
      <c r="B63" s="28"/>
      <c r="G63" s="21"/>
      <c r="H63" s="21"/>
      <c r="I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</row>
    <row r="64" spans="1:23" ht="12.75" customHeight="1">
      <c r="A64" s="54" t="str">
        <f>IF($B$2="BG","Приел:","Executed by:")</f>
        <v>Приел:</v>
      </c>
      <c r="B64" s="122"/>
      <c r="E64" s="54" t="str">
        <f>IF($B$2="BG","Заявил:","Requested by:")</f>
        <v>Заявил:</v>
      </c>
      <c r="G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</row>
    <row r="65" spans="1:23" ht="12.75" customHeight="1">
      <c r="A65" s="54"/>
      <c r="B65" s="122"/>
      <c r="G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</row>
    <row r="66" spans="1:2" ht="12.75" customHeight="1">
      <c r="A66" s="54"/>
      <c r="B66" s="122"/>
    </row>
    <row r="67" spans="1:2" ht="12.75" customHeight="1">
      <c r="A67" s="31"/>
      <c r="B67" s="122"/>
    </row>
    <row r="68" spans="1:2" ht="12.75" customHeight="1">
      <c r="A68" s="54" t="str">
        <f>IF($B$2="BG","Светла Цветкова:","Tsvetkova Svetla:")</f>
        <v>Светла Цветкова:</v>
      </c>
      <c r="B68" s="122"/>
    </row>
    <row r="69" spans="1:2" ht="12.75" customHeight="1">
      <c r="A69" s="54" t="str">
        <f>IF($B$2="BG","Трафик Експерт:","Traffik Expert:")</f>
        <v>Трафик Експерт:</v>
      </c>
      <c r="B69" s="122"/>
    </row>
    <row r="70" spans="1:2" ht="12.75" customHeight="1">
      <c r="A70" s="54"/>
      <c r="B70" s="122"/>
    </row>
    <row r="71" spans="1:4" ht="13.5" customHeight="1">
      <c r="A71" s="54"/>
      <c r="B71" s="122"/>
      <c r="C71" s="31"/>
      <c r="D71" s="31"/>
    </row>
    <row r="72" spans="1:5" ht="13.5" customHeight="1">
      <c r="A72" s="31"/>
      <c r="B72" s="122"/>
      <c r="C72" s="31"/>
      <c r="D72" s="31"/>
      <c r="E72" s="54"/>
    </row>
    <row r="73" spans="1:5" ht="13.5" customHeight="1">
      <c r="A73" s="54" t="str">
        <f>IF($B$2="BG","Станислав Пенович:","Penovich Stanislav:")</f>
        <v>Станислав Пенович:</v>
      </c>
      <c r="B73" s="122"/>
      <c r="C73" s="31"/>
      <c r="D73" s="31"/>
      <c r="E73" s="31"/>
    </row>
    <row r="74" spans="1:5" ht="13.5" customHeight="1">
      <c r="A74" s="54" t="str">
        <f>IF($B$2="BG","Директор  Маркетинг и комуникации:","CEO Marketing and Communication:")</f>
        <v>Директор  Маркетинг и комуникации:</v>
      </c>
      <c r="B74" s="122"/>
      <c r="C74" s="31"/>
      <c r="D74" s="31"/>
      <c r="E74" s="31"/>
    </row>
    <row r="75" spans="1:5" ht="13.5" customHeight="1">
      <c r="A75" s="31"/>
      <c r="B75" s="31"/>
      <c r="C75" s="31"/>
      <c r="D75" s="31"/>
      <c r="E75" s="31"/>
    </row>
    <row r="76" spans="1:5" ht="13.5" customHeight="1">
      <c r="A76" s="29"/>
      <c r="C76" s="31"/>
      <c r="D76" s="31"/>
      <c r="E76" s="31"/>
    </row>
    <row r="77" spans="2:5" ht="13.5" customHeight="1">
      <c r="B77" s="29"/>
      <c r="C77" s="31"/>
      <c r="D77" s="31"/>
      <c r="E77" s="31"/>
    </row>
    <row r="78" spans="2:5" ht="13.5" customHeight="1">
      <c r="B78" s="29"/>
      <c r="C78" s="31"/>
      <c r="D78" s="31"/>
      <c r="E78" s="31"/>
    </row>
    <row r="79" spans="3:5" ht="14.25">
      <c r="C79" s="31"/>
      <c r="D79" s="31"/>
      <c r="E79" s="31"/>
    </row>
    <row r="80" spans="3:5" ht="14.25">
      <c r="C80" s="31"/>
      <c r="D80" s="31"/>
      <c r="E80" s="31"/>
    </row>
    <row r="81" spans="3:5" ht="14.25">
      <c r="C81" s="31"/>
      <c r="D81" s="31"/>
      <c r="E81" s="31"/>
    </row>
  </sheetData>
  <sheetProtection/>
  <protectedRanges>
    <protectedRange sqref="E64 A64:B72 B73:B74 C73:C80 E72" name="Range7_1"/>
    <protectedRange sqref="A73" name="Range7_2"/>
    <protectedRange sqref="A74" name="Range7_1_1_1"/>
  </protectedRanges>
  <autoFilter ref="X12:BB12"/>
  <mergeCells count="38">
    <mergeCell ref="AA48:AG48"/>
    <mergeCell ref="AH47:AN47"/>
    <mergeCell ref="X49:BB49"/>
    <mergeCell ref="AH48:AN48"/>
    <mergeCell ref="X10:BB11"/>
    <mergeCell ref="AV47:BB47"/>
    <mergeCell ref="AV48:BB48"/>
    <mergeCell ref="AO47:AU47"/>
    <mergeCell ref="AO48:AU48"/>
    <mergeCell ref="X47:Z47"/>
    <mergeCell ref="X48:Z48"/>
    <mergeCell ref="AA47:AG47"/>
    <mergeCell ref="H49:J49"/>
    <mergeCell ref="H48:J48"/>
    <mergeCell ref="H47:J47"/>
    <mergeCell ref="C3:D3"/>
    <mergeCell ref="C4:D4"/>
    <mergeCell ref="C5:D5"/>
    <mergeCell ref="C6:D6"/>
    <mergeCell ref="C7:D7"/>
    <mergeCell ref="A1:I1"/>
    <mergeCell ref="A50:A51"/>
    <mergeCell ref="I53:I54"/>
    <mergeCell ref="C51:I52"/>
    <mergeCell ref="C53:C54"/>
    <mergeCell ref="D53:D54"/>
    <mergeCell ref="E53:E54"/>
    <mergeCell ref="F53:F54"/>
    <mergeCell ref="G53:G54"/>
    <mergeCell ref="H53:H54"/>
    <mergeCell ref="C8:D8"/>
    <mergeCell ref="C9:D9"/>
    <mergeCell ref="C10:D10"/>
    <mergeCell ref="C11:D11"/>
    <mergeCell ref="E11:F11"/>
    <mergeCell ref="G11:I11"/>
    <mergeCell ref="G10:I10"/>
    <mergeCell ref="E10:F10"/>
  </mergeCells>
  <conditionalFormatting sqref="W60:W62 A1 E72 E64">
    <cfRule type="cellIs" priority="143" dxfId="2" operator="equal" stopIfTrue="1">
      <formula>0</formula>
    </cfRule>
  </conditionalFormatting>
  <conditionalFormatting sqref="A64:A66 A68:A72">
    <cfRule type="cellIs" priority="21" dxfId="2" operator="equal" stopIfTrue="1">
      <formula>0</formula>
    </cfRule>
  </conditionalFormatting>
  <conditionalFormatting sqref="E5">
    <cfRule type="cellIs" priority="16" dxfId="0" operator="equal" stopIfTrue="1">
      <formula>"B"</formula>
    </cfRule>
  </conditionalFormatting>
  <conditionalFormatting sqref="E6">
    <cfRule type="cellIs" priority="14" dxfId="4" operator="equal" stopIfTrue="1">
      <formula>"D"</formula>
    </cfRule>
    <cfRule type="cellIs" priority="15" dxfId="10" operator="equal" stopIfTrue="1">
      <formula>"C"</formula>
    </cfRule>
  </conditionalFormatting>
  <conditionalFormatting sqref="E7">
    <cfRule type="cellIs" priority="13" dxfId="4" operator="equal" stopIfTrue="1">
      <formula>"D"</formula>
    </cfRule>
  </conditionalFormatting>
  <conditionalFormatting sqref="E8">
    <cfRule type="cellIs" priority="12" dxfId="5" operator="equal" stopIfTrue="1">
      <formula>"E"</formula>
    </cfRule>
  </conditionalFormatting>
  <conditionalFormatting sqref="E9">
    <cfRule type="cellIs" priority="11" dxfId="6" operator="equal" stopIfTrue="1">
      <formula>"F"</formula>
    </cfRule>
  </conditionalFormatting>
  <conditionalFormatting sqref="X13:BB43">
    <cfRule type="cellIs" priority="5" dxfId="6" operator="equal" stopIfTrue="1">
      <formula>"F"</formula>
    </cfRule>
    <cfRule type="cellIs" priority="6" dxfId="5" operator="equal" stopIfTrue="1">
      <formula>"E"</formula>
    </cfRule>
    <cfRule type="cellIs" priority="7" dxfId="4" operator="equal" stopIfTrue="1">
      <formula>"D"</formula>
    </cfRule>
    <cfRule type="cellIs" priority="8" dxfId="10" operator="equal" stopIfTrue="1">
      <formula>"C"</formula>
    </cfRule>
    <cfRule type="cellIs" priority="9" dxfId="0" operator="equal" stopIfTrue="1">
      <formula>"B"</formula>
    </cfRule>
    <cfRule type="cellIs" priority="10" dxfId="1" operator="equal" stopIfTrue="1">
      <formula>"A"</formula>
    </cfRule>
  </conditionalFormatting>
  <conditionalFormatting sqref="A73">
    <cfRule type="cellIs" priority="4" dxfId="2" operator="equal" stopIfTrue="1">
      <formula>0</formula>
    </cfRule>
  </conditionalFormatting>
  <conditionalFormatting sqref="A74">
    <cfRule type="cellIs" priority="3" dxfId="2" operator="equal" stopIfTrue="1">
      <formula>0</formula>
    </cfRule>
  </conditionalFormatting>
  <conditionalFormatting sqref="E4">
    <cfRule type="cellIs" priority="1" dxfId="1" operator="equal" stopIfTrue="1">
      <formula>"A"</formula>
    </cfRule>
    <cfRule type="cellIs" priority="2" dxfId="0" operator="equal" stopIfTrue="1">
      <formula>"B"</formula>
    </cfRule>
  </conditionalFormatting>
  <dataValidations count="16">
    <dataValidation type="list" allowBlank="1" showInputMessage="1" showErrorMessage="1" sqref="F4:F9">
      <formula1>duration3</formula1>
    </dataValidation>
    <dataValidation type="list" showDropDown="1" showInputMessage="1" showErrorMessage="1" sqref="X13:BB45">
      <formula1>Codes2</formula1>
    </dataValidation>
    <dataValidation type="list" allowBlank="1" showInputMessage="1" showErrorMessage="1" sqref="G45">
      <formula1>reklama3</formula1>
    </dataValidation>
    <dataValidation type="list" showInputMessage="1" showErrorMessage="1" sqref="BC13:BC45">
      <formula1>Positions2</formula1>
    </dataValidation>
    <dataValidation type="list" allowBlank="1" showInputMessage="1" showErrorMessage="1" sqref="G46">
      <formula1>Reklama</formula1>
    </dataValidation>
    <dataValidation type="list" allowBlank="1" showInputMessage="1" showErrorMessage="1" sqref="C45">
      <formula1>newdays1</formula1>
    </dataValidation>
    <dataValidation type="list" allowBlank="1" showInputMessage="1" showErrorMessage="1" sqref="D45">
      <formula1>time3</formula1>
    </dataValidation>
    <dataValidation type="list" showInputMessage="1" showErrorMessage="1" sqref="BD13:BE45">
      <formula1>percent1</formula1>
    </dataValidation>
    <dataValidation showInputMessage="1" showErrorMessage="1" sqref="BI13:BJ45"/>
    <dataValidation type="list" allowBlank="1" showInputMessage="1" showErrorMessage="1" sqref="C13:C44">
      <formula1>"mon-sun"</formula1>
    </dataValidation>
    <dataValidation type="list" allowBlank="1" showInputMessage="1" showErrorMessage="1" sqref="D13:D44">
      <formula1>time100</formula1>
    </dataValidation>
    <dataValidation type="list" allowBlank="1" showInputMessage="1" showErrorMessage="1" sqref="B52">
      <formula1>agent</formula1>
    </dataValidation>
    <dataValidation type="list" allowBlank="1" showInputMessage="1" showErrorMessage="1" sqref="G13:G44">
      <formula1>reklama9</formula1>
    </dataValidation>
    <dataValidation type="list" allowBlank="1" showInputMessage="1" showErrorMessage="1" sqref="B53">
      <formula1>obemna</formula1>
    </dataValidation>
    <dataValidation type="list" allowBlank="1" showInputMessage="1" showErrorMessage="1" sqref="B2:B3">
      <formula1>$AD$3:$AD$4</formula1>
    </dataValidation>
    <dataValidation type="list" allowBlank="1" showInputMessage="1" showErrorMessage="1" sqref="I4:I9">
      <formula1>"Да/Yes"</formula1>
    </dataValidation>
  </dataValidations>
  <printOptions/>
  <pageMargins left="0.1968503937007874" right="0.15748031496062992" top="0.2755905511811024" bottom="0.1968503937007874" header="0.2755905511811024" footer="0.15748031496062992"/>
  <pageSetup fitToHeight="0" horizontalDpi="600" verticalDpi="600" orientation="landscape" paperSize="9" scale="38" r:id="rId4"/>
  <headerFooter alignWithMargins="0">
    <oddHeader>&amp;LБНТ Свят фиксирани цени за реклама</oddHeader>
  </headerFooter>
  <ignoredErrors>
    <ignoredError sqref="L46:V46 C51 I49:J49 I47:J47 I48:J48 H47 H46:J46 H49 H48 E3 A67:B69 B72:B74 A72 A64:B64 A75 W45 BF12:BJ12 A12:J12 BC12:BD12 BF46:BJ46 C53:I54 X47 C78:F80 C71:D71 C73:F75 W13:W44 C55:C59 F71 E64 B58 B54 B55:B57 B59:B60 A54:A60 B50:B51 A50 A52:B53 A51 C3 BQ13 BQ45:BQ46 BQ14:BQ44 BL47:BQ47 AA47:AY47 AW48:AY48 AP48:AU48 AI48:AN48 AB48:AG48 X48:AA48 AH48 AO48 AV48 BM14:BO44 BM13:BO13 BL45:BL46 BL14:BL44 BL13 BP13 BP14:BP44 F3:I3 G9 V14:V44 V13 T14:T44 T13 R14:R44 R13 P14:P44 P13 N14:N44 N13 L13 L14:L44 K13 K14:K44 M14:M44 M13 O13 O14:O44 Q13 Q14:Q44 S13 S14:S44 U13 U14:U44 G4:G5 G6 G7 G8 H4:H9 E4:E9 X10 A73:A74 A1" unlockedFormula="1"/>
    <ignoredError sqref="P45 V45 X49:BB49 BM45:BP46 X46 Y46:BB46" emptyCellReference="1" unlockedFormula="1"/>
    <ignoredError sqref="E13:F44 I13 BI13:BI44" emptyCellReference="1"/>
    <ignoredError sqref="X46 Y46:BB46" formulaRange="1" unlockedFormula="1"/>
  </ignoredErrors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W313"/>
  <sheetViews>
    <sheetView showGridLines="0" zoomScale="130" zoomScaleNormal="130" zoomScalePageLayoutView="0" workbookViewId="0" topLeftCell="A1">
      <selection activeCell="O16" sqref="O16"/>
    </sheetView>
  </sheetViews>
  <sheetFormatPr defaultColWidth="9.140625" defaultRowHeight="12.75"/>
  <cols>
    <col min="1" max="1" width="5.28125" style="92" customWidth="1"/>
    <col min="2" max="2" width="6.7109375" style="92" customWidth="1"/>
    <col min="3" max="3" width="22.00390625" style="92" customWidth="1"/>
    <col min="4" max="4" width="7.28125" style="92" customWidth="1"/>
    <col min="5" max="5" width="6.140625" style="93" customWidth="1"/>
    <col min="6" max="6" width="5.57421875" style="93" customWidth="1"/>
    <col min="7" max="8" width="5.57421875" style="92" customWidth="1"/>
    <col min="9" max="9" width="5.8515625" style="92" customWidth="1"/>
    <col min="10" max="10" width="35.00390625" style="92" customWidth="1"/>
    <col min="11" max="11" width="7.8515625" style="92" customWidth="1"/>
    <col min="12" max="12" width="7.140625" style="92" customWidth="1"/>
    <col min="13" max="13" width="6.140625" style="92" customWidth="1"/>
    <col min="14" max="14" width="10.7109375" style="92" customWidth="1"/>
    <col min="15" max="15" width="6.7109375" style="92" customWidth="1"/>
    <col min="16" max="16" width="7.28125" style="92" customWidth="1"/>
    <col min="17" max="17" width="7.8515625" style="92" customWidth="1"/>
    <col min="18" max="18" width="9.7109375" style="92" customWidth="1"/>
    <col min="19" max="19" width="5.7109375" style="92" customWidth="1"/>
    <col min="20" max="20" width="9.140625" style="92" customWidth="1"/>
    <col min="21" max="21" width="11.421875" style="92" customWidth="1"/>
    <col min="22" max="22" width="7.00390625" style="92" customWidth="1"/>
    <col min="23" max="24" width="9.140625" style="92" customWidth="1"/>
    <col min="25" max="16384" width="9.140625" style="92" customWidth="1"/>
  </cols>
  <sheetData>
    <row r="1" spans="10:20" ht="12">
      <c r="J1" s="348" t="s">
        <v>38</v>
      </c>
      <c r="K1" s="348"/>
      <c r="L1" s="348"/>
      <c r="M1" s="348"/>
      <c r="N1" s="348"/>
      <c r="O1" s="348"/>
      <c r="P1" s="348"/>
      <c r="Q1" s="348"/>
      <c r="R1" s="348"/>
      <c r="S1" s="348"/>
      <c r="T1" s="348"/>
    </row>
    <row r="2" spans="2:10" ht="12">
      <c r="B2" s="92" t="s">
        <v>44</v>
      </c>
      <c r="C2" s="143" t="s">
        <v>94</v>
      </c>
      <c r="D2" s="93"/>
      <c r="J2" s="92" t="s">
        <v>37</v>
      </c>
    </row>
    <row r="3" spans="3:18" ht="24" customHeight="1">
      <c r="C3" s="92" t="s">
        <v>81</v>
      </c>
      <c r="D3" s="98">
        <v>1.2</v>
      </c>
      <c r="E3" s="94"/>
      <c r="F3" s="94"/>
      <c r="J3" s="92" t="s">
        <v>32</v>
      </c>
      <c r="K3" s="183" t="s">
        <v>33</v>
      </c>
      <c r="L3" s="183" t="s">
        <v>34</v>
      </c>
      <c r="M3" s="183" t="s">
        <v>46</v>
      </c>
      <c r="N3" s="95" t="s">
        <v>48</v>
      </c>
      <c r="O3" s="183" t="s">
        <v>35</v>
      </c>
      <c r="P3" s="183" t="s">
        <v>36</v>
      </c>
      <c r="R3" s="92" t="s">
        <v>69</v>
      </c>
    </row>
    <row r="4" spans="3:19" ht="10.5" customHeight="1">
      <c r="C4" s="92" t="s">
        <v>84</v>
      </c>
      <c r="D4" s="98">
        <v>1.2</v>
      </c>
      <c r="E4" s="94"/>
      <c r="F4" s="94"/>
      <c r="G4" s="96">
        <v>0.01</v>
      </c>
      <c r="K4" s="97">
        <v>630</v>
      </c>
      <c r="L4" s="97">
        <v>504</v>
      </c>
      <c r="M4" s="97">
        <v>1470</v>
      </c>
      <c r="N4" s="97">
        <v>2370</v>
      </c>
      <c r="O4" s="97">
        <v>1176</v>
      </c>
      <c r="P4" s="97">
        <v>300</v>
      </c>
      <c r="R4" s="95" t="s">
        <v>92</v>
      </c>
      <c r="S4" s="92">
        <v>2</v>
      </c>
    </row>
    <row r="5" spans="3:19" ht="9.75" customHeight="1">
      <c r="C5" s="92" t="s">
        <v>85</v>
      </c>
      <c r="D5" s="98">
        <v>1.2</v>
      </c>
      <c r="E5" s="94"/>
      <c r="F5" s="94"/>
      <c r="G5" s="96">
        <v>0.02</v>
      </c>
      <c r="K5" s="97">
        <v>630</v>
      </c>
      <c r="L5" s="97">
        <v>966</v>
      </c>
      <c r="M5" s="97">
        <v>840</v>
      </c>
      <c r="N5" s="97">
        <v>2770</v>
      </c>
      <c r="O5" s="97">
        <v>1470</v>
      </c>
      <c r="P5" s="97">
        <v>300</v>
      </c>
      <c r="R5" s="95" t="s">
        <v>95</v>
      </c>
      <c r="S5" s="92">
        <v>3</v>
      </c>
    </row>
    <row r="6" spans="3:19" ht="9.75" customHeight="1">
      <c r="C6" s="92" t="s">
        <v>86</v>
      </c>
      <c r="D6" s="98">
        <v>1.2</v>
      </c>
      <c r="E6" s="94"/>
      <c r="F6" s="94"/>
      <c r="G6" s="96">
        <v>0.03</v>
      </c>
      <c r="K6" s="97">
        <v>630</v>
      </c>
      <c r="L6" s="97">
        <v>966</v>
      </c>
      <c r="M6" s="97">
        <v>1060</v>
      </c>
      <c r="N6" s="97">
        <v>2770</v>
      </c>
      <c r="O6" s="97">
        <v>1176</v>
      </c>
      <c r="P6" s="97">
        <v>300</v>
      </c>
      <c r="R6" s="95" t="s">
        <v>66</v>
      </c>
      <c r="S6" s="92">
        <v>4</v>
      </c>
    </row>
    <row r="7" spans="3:19" ht="9.75" customHeight="1">
      <c r="C7" s="92" t="s">
        <v>87</v>
      </c>
      <c r="D7" s="98">
        <v>1.2</v>
      </c>
      <c r="E7" s="94"/>
      <c r="F7" s="94"/>
      <c r="G7" s="96">
        <v>0.04</v>
      </c>
      <c r="R7" s="95" t="s">
        <v>67</v>
      </c>
      <c r="S7" s="92">
        <v>5</v>
      </c>
    </row>
    <row r="8" spans="3:19" ht="9.75" customHeight="1">
      <c r="C8" s="92" t="s">
        <v>82</v>
      </c>
      <c r="D8" s="98">
        <v>1.3</v>
      </c>
      <c r="E8" s="94"/>
      <c r="F8" s="94"/>
      <c r="G8" s="96">
        <v>0.05</v>
      </c>
      <c r="J8" s="99" t="s">
        <v>55</v>
      </c>
      <c r="K8" s="350" t="s">
        <v>56</v>
      </c>
      <c r="L8" s="350"/>
      <c r="M8" s="350"/>
      <c r="R8" s="95" t="s">
        <v>46</v>
      </c>
      <c r="S8" s="92">
        <v>6</v>
      </c>
    </row>
    <row r="9" spans="3:19" ht="9.75" customHeight="1">
      <c r="C9" s="92" t="s">
        <v>83</v>
      </c>
      <c r="D9" s="98">
        <v>1.2</v>
      </c>
      <c r="E9" s="94"/>
      <c r="F9" s="94"/>
      <c r="G9" s="96">
        <v>0.06</v>
      </c>
      <c r="J9" s="100" t="s">
        <v>57</v>
      </c>
      <c r="K9" s="100" t="s">
        <v>47</v>
      </c>
      <c r="L9" s="100" t="s">
        <v>41</v>
      </c>
      <c r="M9" s="100" t="s">
        <v>54</v>
      </c>
      <c r="R9" s="95" t="s">
        <v>48</v>
      </c>
      <c r="S9" s="92">
        <v>7</v>
      </c>
    </row>
    <row r="10" spans="3:19" ht="9.75" customHeight="1">
      <c r="C10" s="92" t="s">
        <v>93</v>
      </c>
      <c r="D10" s="98">
        <v>1.3</v>
      </c>
      <c r="E10" s="94"/>
      <c r="F10" s="94"/>
      <c r="G10" s="96">
        <v>0.07</v>
      </c>
      <c r="J10" s="101" t="s">
        <v>88</v>
      </c>
      <c r="K10" s="102">
        <v>80</v>
      </c>
      <c r="L10" s="102">
        <v>80</v>
      </c>
      <c r="M10" s="102">
        <v>80</v>
      </c>
      <c r="R10" s="95" t="s">
        <v>49</v>
      </c>
      <c r="S10" s="92">
        <v>8</v>
      </c>
    </row>
    <row r="11" spans="2:19" ht="9.75" customHeight="1">
      <c r="B11" s="92" t="s">
        <v>10</v>
      </c>
      <c r="C11" s="103" t="s">
        <v>62</v>
      </c>
      <c r="D11" s="103"/>
      <c r="E11" s="94"/>
      <c r="F11" s="94"/>
      <c r="G11" s="96">
        <v>0.08</v>
      </c>
      <c r="J11" s="101" t="s">
        <v>89</v>
      </c>
      <c r="K11" s="102">
        <v>60</v>
      </c>
      <c r="L11" s="102">
        <v>60</v>
      </c>
      <c r="M11" s="102">
        <v>60</v>
      </c>
      <c r="R11" s="95" t="s">
        <v>68</v>
      </c>
      <c r="S11" s="92">
        <v>9</v>
      </c>
    </row>
    <row r="12" spans="3:19" ht="9.75" customHeight="1">
      <c r="C12" s="92" t="s">
        <v>6</v>
      </c>
      <c r="E12" s="94"/>
      <c r="F12" s="94"/>
      <c r="G12" s="96">
        <v>0.09</v>
      </c>
      <c r="J12" s="101" t="s">
        <v>90</v>
      </c>
      <c r="K12" s="102">
        <v>50</v>
      </c>
      <c r="L12" s="102">
        <v>50</v>
      </c>
      <c r="M12" s="102">
        <v>50</v>
      </c>
      <c r="R12" s="95" t="s">
        <v>36</v>
      </c>
      <c r="S12" s="92">
        <v>10</v>
      </c>
    </row>
    <row r="13" spans="3:15" ht="9.75" customHeight="1">
      <c r="C13" s="92" t="s">
        <v>7</v>
      </c>
      <c r="E13" s="94"/>
      <c r="F13" s="94"/>
      <c r="G13" s="96">
        <v>0.1</v>
      </c>
      <c r="J13" s="92" t="s">
        <v>96</v>
      </c>
      <c r="O13" s="92" t="s">
        <v>97</v>
      </c>
    </row>
    <row r="14" spans="3:17" ht="9.75" customHeight="1">
      <c r="C14" s="92" t="s">
        <v>8</v>
      </c>
      <c r="E14" s="94"/>
      <c r="F14" s="94"/>
      <c r="G14" s="96">
        <v>0.11</v>
      </c>
      <c r="J14" s="349" t="s">
        <v>39</v>
      </c>
      <c r="K14" s="351" t="s">
        <v>40</v>
      </c>
      <c r="L14" s="352"/>
      <c r="M14" s="353"/>
      <c r="N14" s="349" t="s">
        <v>39</v>
      </c>
      <c r="O14" s="351" t="s">
        <v>40</v>
      </c>
      <c r="P14" s="352"/>
      <c r="Q14" s="353"/>
    </row>
    <row r="15" spans="3:17" ht="9.75" customHeight="1">
      <c r="C15" s="92" t="s">
        <v>9</v>
      </c>
      <c r="E15" s="94"/>
      <c r="F15" s="94"/>
      <c r="G15" s="96">
        <v>0.12</v>
      </c>
      <c r="J15" s="349"/>
      <c r="K15" s="180" t="s">
        <v>53</v>
      </c>
      <c r="L15" s="180" t="s">
        <v>101</v>
      </c>
      <c r="M15" s="180" t="s">
        <v>100</v>
      </c>
      <c r="N15" s="349"/>
      <c r="O15" s="180" t="s">
        <v>53</v>
      </c>
      <c r="P15" s="180" t="s">
        <v>101</v>
      </c>
      <c r="Q15" s="180" t="s">
        <v>100</v>
      </c>
    </row>
    <row r="16" spans="3:17" ht="9.75" customHeight="1">
      <c r="C16" s="92" t="s">
        <v>61</v>
      </c>
      <c r="E16" s="94"/>
      <c r="F16" s="94"/>
      <c r="G16" s="96">
        <v>0.13</v>
      </c>
      <c r="J16" s="95" t="s">
        <v>98</v>
      </c>
      <c r="K16" s="184">
        <v>180</v>
      </c>
      <c r="L16" s="184">
        <v>180</v>
      </c>
      <c r="M16" s="184">
        <v>180</v>
      </c>
      <c r="N16" s="95" t="s">
        <v>98</v>
      </c>
      <c r="O16" s="184">
        <v>180</v>
      </c>
      <c r="P16" s="184">
        <v>180</v>
      </c>
      <c r="Q16" s="184">
        <v>180</v>
      </c>
    </row>
    <row r="17" spans="2:17" ht="9.75" customHeight="1">
      <c r="B17" s="92">
        <v>5</v>
      </c>
      <c r="C17" s="96">
        <v>0.55</v>
      </c>
      <c r="E17" s="94"/>
      <c r="F17" s="94"/>
      <c r="G17" s="96">
        <v>0.14</v>
      </c>
      <c r="J17" s="95" t="s">
        <v>99</v>
      </c>
      <c r="K17" s="184">
        <v>180</v>
      </c>
      <c r="L17" s="184">
        <v>180</v>
      </c>
      <c r="M17" s="184">
        <v>180</v>
      </c>
      <c r="N17" s="95" t="s">
        <v>99</v>
      </c>
      <c r="O17" s="184">
        <v>180</v>
      </c>
      <c r="P17" s="184">
        <v>180</v>
      </c>
      <c r="Q17" s="184">
        <v>180</v>
      </c>
    </row>
    <row r="18" spans="2:17" ht="9.75" customHeight="1">
      <c r="B18" s="92">
        <v>6</v>
      </c>
      <c r="C18" s="96">
        <v>0.55</v>
      </c>
      <c r="E18" s="94"/>
      <c r="F18" s="94"/>
      <c r="G18" s="96">
        <v>0.15</v>
      </c>
      <c r="J18" s="95" t="s">
        <v>52</v>
      </c>
      <c r="K18" s="184">
        <v>220</v>
      </c>
      <c r="L18" s="184">
        <v>220</v>
      </c>
      <c r="M18" s="184">
        <v>220</v>
      </c>
      <c r="N18" s="95" t="s">
        <v>52</v>
      </c>
      <c r="O18" s="184">
        <v>220</v>
      </c>
      <c r="P18" s="184">
        <v>220</v>
      </c>
      <c r="Q18" s="184">
        <v>220</v>
      </c>
    </row>
    <row r="19" spans="2:17" ht="9.75" customHeight="1">
      <c r="B19" s="92">
        <v>7</v>
      </c>
      <c r="C19" s="96">
        <v>0.55</v>
      </c>
      <c r="E19" s="94"/>
      <c r="F19" s="94"/>
      <c r="G19" s="96">
        <v>0.16</v>
      </c>
      <c r="J19" s="95" t="s">
        <v>103</v>
      </c>
      <c r="K19" s="184">
        <v>250</v>
      </c>
      <c r="L19" s="184">
        <v>250</v>
      </c>
      <c r="M19" s="184">
        <v>250</v>
      </c>
      <c r="N19" s="95" t="s">
        <v>48</v>
      </c>
      <c r="O19" s="184">
        <v>250</v>
      </c>
      <c r="P19" s="184">
        <v>250</v>
      </c>
      <c r="Q19" s="184">
        <v>250</v>
      </c>
    </row>
    <row r="20" spans="2:17" ht="9.75" customHeight="1">
      <c r="B20" s="92">
        <v>8</v>
      </c>
      <c r="C20" s="96">
        <v>0.6</v>
      </c>
      <c r="E20" s="94"/>
      <c r="F20" s="94"/>
      <c r="G20" s="96">
        <v>0.17</v>
      </c>
      <c r="J20" s="95" t="s">
        <v>35</v>
      </c>
      <c r="K20" s="184">
        <v>250</v>
      </c>
      <c r="L20" s="184">
        <v>250</v>
      </c>
      <c r="M20" s="184">
        <v>250</v>
      </c>
      <c r="N20" s="95" t="s">
        <v>35</v>
      </c>
      <c r="O20" s="184">
        <v>250</v>
      </c>
      <c r="P20" s="184">
        <v>250</v>
      </c>
      <c r="Q20" s="184">
        <v>250</v>
      </c>
    </row>
    <row r="21" spans="2:17" ht="9.75" customHeight="1">
      <c r="B21" s="92">
        <v>9</v>
      </c>
      <c r="C21" s="96">
        <v>0.6</v>
      </c>
      <c r="E21" s="94"/>
      <c r="F21" s="94"/>
      <c r="G21" s="96">
        <v>0.18</v>
      </c>
      <c r="J21" s="95" t="s">
        <v>58</v>
      </c>
      <c r="K21" s="184">
        <v>150</v>
      </c>
      <c r="L21" s="184">
        <v>150</v>
      </c>
      <c r="M21" s="184">
        <v>150</v>
      </c>
      <c r="N21" s="95" t="s">
        <v>58</v>
      </c>
      <c r="O21" s="184">
        <v>150</v>
      </c>
      <c r="P21" s="184">
        <v>150</v>
      </c>
      <c r="Q21" s="184">
        <v>150</v>
      </c>
    </row>
    <row r="22" spans="2:7" ht="9.75" customHeight="1">
      <c r="B22" s="92">
        <v>10</v>
      </c>
      <c r="C22" s="96">
        <v>0.6</v>
      </c>
      <c r="E22" s="94"/>
      <c r="F22" s="94"/>
      <c r="G22" s="96">
        <v>0.19</v>
      </c>
    </row>
    <row r="23" spans="2:7" ht="9.75" customHeight="1">
      <c r="B23" s="92">
        <v>11</v>
      </c>
      <c r="C23" s="96">
        <v>0.6</v>
      </c>
      <c r="E23" s="94"/>
      <c r="F23" s="94"/>
      <c r="G23" s="96">
        <v>0.2</v>
      </c>
    </row>
    <row r="24" spans="2:12" ht="9.75" customHeight="1">
      <c r="B24" s="92">
        <v>12</v>
      </c>
      <c r="C24" s="96">
        <v>0.6</v>
      </c>
      <c r="E24" s="94"/>
      <c r="F24" s="94"/>
      <c r="G24" s="96">
        <v>0.21</v>
      </c>
      <c r="J24" s="96"/>
      <c r="K24" s="96"/>
      <c r="L24" s="96"/>
    </row>
    <row r="25" spans="2:23" ht="9.75" customHeight="1">
      <c r="B25" s="92">
        <v>13</v>
      </c>
      <c r="C25" s="96">
        <v>0.75</v>
      </c>
      <c r="E25" s="94"/>
      <c r="F25" s="94"/>
      <c r="G25" s="96">
        <v>0.22</v>
      </c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</row>
    <row r="26" spans="2:14" ht="9.75" customHeight="1">
      <c r="B26" s="92">
        <v>14</v>
      </c>
      <c r="C26" s="96">
        <v>0.75</v>
      </c>
      <c r="E26" s="94"/>
      <c r="F26" s="94"/>
      <c r="G26" s="96">
        <v>0.23</v>
      </c>
      <c r="J26" s="96"/>
      <c r="K26" s="96"/>
      <c r="L26" s="96"/>
      <c r="M26" s="96"/>
      <c r="N26" s="96"/>
    </row>
    <row r="27" spans="2:18" ht="9.75" customHeight="1">
      <c r="B27" s="92">
        <v>15</v>
      </c>
      <c r="C27" s="96">
        <v>0.75</v>
      </c>
      <c r="E27" s="94"/>
      <c r="F27" s="94"/>
      <c r="G27" s="96">
        <v>0.24</v>
      </c>
      <c r="J27" s="96"/>
      <c r="K27" s="96"/>
      <c r="L27" s="96"/>
      <c r="M27" s="96"/>
      <c r="N27" s="96"/>
      <c r="O27" s="96"/>
      <c r="P27" s="96"/>
      <c r="Q27" s="96"/>
      <c r="R27" s="96"/>
    </row>
    <row r="28" spans="2:14" ht="9.75" customHeight="1">
      <c r="B28" s="92">
        <v>16</v>
      </c>
      <c r="C28" s="96">
        <v>0.75</v>
      </c>
      <c r="E28" s="94"/>
      <c r="F28" s="94"/>
      <c r="G28" s="96">
        <v>0.25</v>
      </c>
      <c r="J28" s="96"/>
      <c r="K28" s="96"/>
      <c r="L28" s="96"/>
      <c r="M28" s="96"/>
      <c r="N28" s="96"/>
    </row>
    <row r="29" spans="2:12" ht="9.75" customHeight="1">
      <c r="B29" s="92">
        <v>17</v>
      </c>
      <c r="C29" s="96">
        <v>0.75</v>
      </c>
      <c r="E29" s="94"/>
      <c r="F29" s="94"/>
      <c r="G29" s="96">
        <v>0.26</v>
      </c>
      <c r="J29" s="96"/>
      <c r="K29" s="96"/>
      <c r="L29" s="96"/>
    </row>
    <row r="30" spans="2:12" ht="9.75" customHeight="1">
      <c r="B30" s="92">
        <v>18</v>
      </c>
      <c r="C30" s="96">
        <v>0.9</v>
      </c>
      <c r="E30" s="94"/>
      <c r="F30" s="94"/>
      <c r="G30" s="96">
        <v>0.27</v>
      </c>
      <c r="J30" s="96"/>
      <c r="K30" s="96"/>
      <c r="L30" s="96"/>
    </row>
    <row r="31" spans="2:12" ht="9.75" customHeight="1">
      <c r="B31" s="92">
        <v>19</v>
      </c>
      <c r="C31" s="96">
        <v>0.9</v>
      </c>
      <c r="E31" s="94"/>
      <c r="F31" s="94"/>
      <c r="G31" s="96">
        <v>0.28</v>
      </c>
      <c r="J31" s="96"/>
      <c r="K31" s="96"/>
      <c r="L31" s="96"/>
    </row>
    <row r="32" spans="2:12" ht="9.75" customHeight="1">
      <c r="B32" s="92">
        <v>20</v>
      </c>
      <c r="C32" s="96">
        <v>0.9</v>
      </c>
      <c r="E32" s="94"/>
      <c r="F32" s="94"/>
      <c r="G32" s="96">
        <v>0.29</v>
      </c>
      <c r="J32" s="96"/>
      <c r="K32" s="96"/>
      <c r="L32" s="96"/>
    </row>
    <row r="33" spans="2:13" ht="9.75" customHeight="1">
      <c r="B33" s="92">
        <v>21</v>
      </c>
      <c r="C33" s="96">
        <v>0.9</v>
      </c>
      <c r="E33" s="94"/>
      <c r="F33" s="94"/>
      <c r="G33" s="96">
        <v>0.3</v>
      </c>
      <c r="J33" s="96"/>
      <c r="K33" s="96"/>
      <c r="L33" s="96"/>
      <c r="M33" s="96"/>
    </row>
    <row r="34" spans="2:6" ht="9.75" customHeight="1">
      <c r="B34" s="92">
        <v>22</v>
      </c>
      <c r="C34" s="96">
        <v>0.9</v>
      </c>
      <c r="E34" s="94"/>
      <c r="F34" s="94"/>
    </row>
    <row r="35" spans="2:6" ht="9.75" customHeight="1">
      <c r="B35" s="92">
        <v>23</v>
      </c>
      <c r="C35" s="96">
        <v>0.95</v>
      </c>
      <c r="E35" s="94"/>
      <c r="F35" s="94"/>
    </row>
    <row r="36" spans="1:6" ht="9.75" customHeight="1">
      <c r="A36" s="104"/>
      <c r="B36" s="92">
        <v>24</v>
      </c>
      <c r="C36" s="96">
        <v>0.95</v>
      </c>
      <c r="E36" s="94"/>
      <c r="F36" s="94"/>
    </row>
    <row r="37" spans="2:6" ht="9.75" customHeight="1">
      <c r="B37" s="92">
        <v>25</v>
      </c>
      <c r="C37" s="96">
        <v>0.95</v>
      </c>
      <c r="E37" s="94"/>
      <c r="F37" s="94"/>
    </row>
    <row r="38" spans="2:6" ht="9.75" customHeight="1">
      <c r="B38" s="92">
        <v>26</v>
      </c>
      <c r="C38" s="96">
        <v>0.95</v>
      </c>
      <c r="E38" s="94"/>
      <c r="F38" s="94"/>
    </row>
    <row r="39" spans="2:6" ht="9.75" customHeight="1">
      <c r="B39" s="92">
        <v>27</v>
      </c>
      <c r="C39" s="96">
        <v>0.95</v>
      </c>
      <c r="E39" s="94"/>
      <c r="F39" s="94"/>
    </row>
    <row r="40" spans="2:6" ht="9.75" customHeight="1">
      <c r="B40" s="92">
        <v>28</v>
      </c>
      <c r="C40" s="96">
        <v>1</v>
      </c>
      <c r="E40" s="94"/>
      <c r="F40" s="94"/>
    </row>
    <row r="41" spans="2:6" ht="9.75" customHeight="1">
      <c r="B41" s="92">
        <v>29</v>
      </c>
      <c r="C41" s="96">
        <v>1</v>
      </c>
      <c r="E41" s="94"/>
      <c r="F41" s="94"/>
    </row>
    <row r="42" spans="2:17" ht="9.75" customHeight="1">
      <c r="B42" s="92">
        <v>30</v>
      </c>
      <c r="C42" s="96">
        <v>1</v>
      </c>
      <c r="E42" s="94"/>
      <c r="F42" s="94"/>
      <c r="N42" s="105" t="s">
        <v>59</v>
      </c>
      <c r="O42" s="106" t="s">
        <v>63</v>
      </c>
      <c r="P42" s="105" t="s">
        <v>59</v>
      </c>
      <c r="Q42" s="106" t="s">
        <v>63</v>
      </c>
    </row>
    <row r="43" spans="2:17" ht="9.75" customHeight="1">
      <c r="B43" s="92">
        <v>31</v>
      </c>
      <c r="C43" s="96">
        <v>1</v>
      </c>
      <c r="E43" s="94"/>
      <c r="F43" s="94"/>
      <c r="N43" s="107" t="s">
        <v>73</v>
      </c>
      <c r="O43" s="107">
        <v>1</v>
      </c>
      <c r="P43" s="114" t="s">
        <v>73</v>
      </c>
      <c r="Q43" s="107">
        <v>1</v>
      </c>
    </row>
    <row r="44" spans="2:17" ht="9.75" customHeight="1">
      <c r="B44" s="92">
        <v>32</v>
      </c>
      <c r="C44" s="96">
        <v>1</v>
      </c>
      <c r="E44" s="94"/>
      <c r="F44" s="94"/>
      <c r="N44" s="107" t="s">
        <v>74</v>
      </c>
      <c r="O44" s="107">
        <v>0.5</v>
      </c>
      <c r="P44" s="114" t="s">
        <v>74</v>
      </c>
      <c r="Q44" s="107">
        <v>0.5</v>
      </c>
    </row>
    <row r="45" spans="2:17" ht="9.75" customHeight="1">
      <c r="B45" s="92">
        <v>33</v>
      </c>
      <c r="C45" s="96">
        <v>1.2</v>
      </c>
      <c r="E45" s="94"/>
      <c r="F45" s="94"/>
      <c r="N45" s="107" t="s">
        <v>75</v>
      </c>
      <c r="O45" s="107">
        <v>0.5</v>
      </c>
      <c r="P45" s="114" t="s">
        <v>75</v>
      </c>
      <c r="Q45" s="107">
        <v>0.5</v>
      </c>
    </row>
    <row r="46" spans="2:17" ht="9.75" customHeight="1">
      <c r="B46" s="92">
        <v>34</v>
      </c>
      <c r="C46" s="96">
        <v>1.2</v>
      </c>
      <c r="E46" s="94"/>
      <c r="F46" s="94"/>
      <c r="N46" s="107" t="s">
        <v>76</v>
      </c>
      <c r="O46" s="107">
        <v>1</v>
      </c>
      <c r="P46" s="114" t="s">
        <v>76</v>
      </c>
      <c r="Q46" s="107">
        <v>1</v>
      </c>
    </row>
    <row r="47" spans="2:17" ht="9.75" customHeight="1">
      <c r="B47" s="92">
        <v>35</v>
      </c>
      <c r="C47" s="96">
        <v>1.2</v>
      </c>
      <c r="E47" s="94"/>
      <c r="F47" s="94"/>
      <c r="N47" s="107" t="s">
        <v>60</v>
      </c>
      <c r="O47" s="107">
        <v>0.7</v>
      </c>
      <c r="P47" s="114" t="s">
        <v>60</v>
      </c>
      <c r="Q47" s="107">
        <v>0.7</v>
      </c>
    </row>
    <row r="48" spans="2:17" ht="9.75" customHeight="1">
      <c r="B48" s="92">
        <v>36</v>
      </c>
      <c r="C48" s="96">
        <v>1.2</v>
      </c>
      <c r="E48" s="94"/>
      <c r="F48" s="94"/>
      <c r="N48" s="92" t="s">
        <v>77</v>
      </c>
      <c r="O48" s="107">
        <v>1</v>
      </c>
      <c r="P48" s="115" t="s">
        <v>79</v>
      </c>
      <c r="Q48" s="107">
        <v>1</v>
      </c>
    </row>
    <row r="49" spans="2:17" ht="9.75" customHeight="1">
      <c r="B49" s="92">
        <v>37</v>
      </c>
      <c r="C49" s="96">
        <v>1.2</v>
      </c>
      <c r="D49" s="108"/>
      <c r="E49" s="94"/>
      <c r="F49" s="94"/>
      <c r="N49" s="103" t="s">
        <v>78</v>
      </c>
      <c r="O49" s="107">
        <v>1.2</v>
      </c>
      <c r="P49" s="116" t="s">
        <v>80</v>
      </c>
      <c r="Q49" s="107">
        <v>1.2</v>
      </c>
    </row>
    <row r="50" spans="1:17" ht="9.75" customHeight="1">
      <c r="A50" s="108"/>
      <c r="B50" s="92">
        <v>38</v>
      </c>
      <c r="C50" s="96">
        <v>1.4</v>
      </c>
      <c r="E50" s="94"/>
      <c r="F50" s="94"/>
      <c r="P50" s="107"/>
      <c r="Q50" s="107"/>
    </row>
    <row r="51" spans="2:21" ht="22.5" customHeight="1">
      <c r="B51" s="92">
        <v>39</v>
      </c>
      <c r="C51" s="96">
        <v>1.4</v>
      </c>
      <c r="E51" s="94"/>
      <c r="F51" s="94"/>
      <c r="P51" s="107"/>
      <c r="Q51" s="107"/>
      <c r="U51" s="92" t="s">
        <v>69</v>
      </c>
    </row>
    <row r="52" spans="2:22" ht="9.75" customHeight="1">
      <c r="B52" s="92">
        <v>40</v>
      </c>
      <c r="C52" s="96">
        <v>1.4</v>
      </c>
      <c r="E52" s="94"/>
      <c r="F52" s="94"/>
      <c r="J52" s="92" t="s">
        <v>37</v>
      </c>
      <c r="U52" s="95" t="s">
        <v>92</v>
      </c>
      <c r="V52" s="92">
        <v>2</v>
      </c>
    </row>
    <row r="53" spans="1:22" ht="9.75" customHeight="1">
      <c r="A53" s="96"/>
      <c r="B53" s="92">
        <v>41</v>
      </c>
      <c r="C53" s="96">
        <v>1.4</v>
      </c>
      <c r="E53" s="94"/>
      <c r="F53" s="94"/>
      <c r="J53" s="92" t="s">
        <v>32</v>
      </c>
      <c r="K53" s="183" t="s">
        <v>92</v>
      </c>
      <c r="L53" s="183" t="s">
        <v>95</v>
      </c>
      <c r="M53" s="183" t="s">
        <v>66</v>
      </c>
      <c r="N53" s="183" t="s">
        <v>67</v>
      </c>
      <c r="O53" s="183" t="s">
        <v>46</v>
      </c>
      <c r="P53" s="183" t="s">
        <v>48</v>
      </c>
      <c r="Q53" s="183" t="s">
        <v>49</v>
      </c>
      <c r="R53" s="183" t="s">
        <v>68</v>
      </c>
      <c r="S53" s="183" t="s">
        <v>36</v>
      </c>
      <c r="U53" s="95" t="s">
        <v>95</v>
      </c>
      <c r="V53" s="92">
        <v>3</v>
      </c>
    </row>
    <row r="54" spans="1:22" ht="9.75" customHeight="1">
      <c r="A54" s="96"/>
      <c r="B54" s="92">
        <v>42</v>
      </c>
      <c r="C54" s="96">
        <v>1.4</v>
      </c>
      <c r="E54" s="94"/>
      <c r="F54" s="94"/>
      <c r="J54" s="92" t="s">
        <v>42</v>
      </c>
      <c r="K54" s="97">
        <v>550</v>
      </c>
      <c r="L54" s="97">
        <v>800</v>
      </c>
      <c r="M54" s="97">
        <v>1000</v>
      </c>
      <c r="N54" s="97">
        <v>720</v>
      </c>
      <c r="O54" s="97">
        <v>1200</v>
      </c>
      <c r="P54" s="97">
        <v>2400</v>
      </c>
      <c r="Q54" s="97">
        <v>1300</v>
      </c>
      <c r="R54" s="97">
        <v>950</v>
      </c>
      <c r="S54" s="97">
        <v>260</v>
      </c>
      <c r="U54" s="95" t="s">
        <v>66</v>
      </c>
      <c r="V54" s="92">
        <v>4</v>
      </c>
    </row>
    <row r="55" spans="2:22" ht="9.75" customHeight="1">
      <c r="B55" s="92">
        <v>43</v>
      </c>
      <c r="C55" s="96">
        <v>1.6</v>
      </c>
      <c r="E55" s="94"/>
      <c r="F55" s="94"/>
      <c r="J55" s="92" t="s">
        <v>102</v>
      </c>
      <c r="U55" s="95" t="s">
        <v>67</v>
      </c>
      <c r="V55" s="92">
        <v>5</v>
      </c>
    </row>
    <row r="56" spans="1:22" ht="9.75" customHeight="1">
      <c r="A56" s="96"/>
      <c r="B56" s="92">
        <v>44</v>
      </c>
      <c r="C56" s="96">
        <v>1.6</v>
      </c>
      <c r="E56" s="94"/>
      <c r="F56" s="94"/>
      <c r="U56" s="95" t="s">
        <v>46</v>
      </c>
      <c r="V56" s="92">
        <v>6</v>
      </c>
    </row>
    <row r="57" spans="1:22" ht="9.75" customHeight="1">
      <c r="A57" s="96"/>
      <c r="B57" s="92">
        <v>45</v>
      </c>
      <c r="C57" s="96">
        <v>1.6</v>
      </c>
      <c r="E57" s="94"/>
      <c r="F57" s="94"/>
      <c r="U57" s="95" t="s">
        <v>48</v>
      </c>
      <c r="V57" s="92">
        <v>7</v>
      </c>
    </row>
    <row r="58" spans="1:22" ht="9.75" customHeight="1">
      <c r="A58" s="96"/>
      <c r="B58" s="92">
        <v>46</v>
      </c>
      <c r="C58" s="96">
        <v>1.6</v>
      </c>
      <c r="E58" s="94"/>
      <c r="F58" s="94"/>
      <c r="U58" s="95" t="s">
        <v>49</v>
      </c>
      <c r="V58" s="92">
        <v>8</v>
      </c>
    </row>
    <row r="59" spans="1:22" ht="9.75" customHeight="1">
      <c r="A59" s="96"/>
      <c r="B59" s="92">
        <v>47</v>
      </c>
      <c r="C59" s="96">
        <v>1.6</v>
      </c>
      <c r="E59" s="94"/>
      <c r="F59" s="94"/>
      <c r="U59" s="95" t="s">
        <v>68</v>
      </c>
      <c r="V59" s="92">
        <v>9</v>
      </c>
    </row>
    <row r="60" spans="1:22" ht="9.75" customHeight="1">
      <c r="A60" s="96"/>
      <c r="B60" s="92">
        <v>48</v>
      </c>
      <c r="C60" s="96">
        <v>1.8</v>
      </c>
      <c r="E60" s="94"/>
      <c r="F60" s="94"/>
      <c r="U60" s="95" t="s">
        <v>36</v>
      </c>
      <c r="V60" s="92">
        <v>10</v>
      </c>
    </row>
    <row r="61" spans="1:6" ht="9.75" customHeight="1">
      <c r="A61" s="96"/>
      <c r="B61" s="92">
        <v>49</v>
      </c>
      <c r="C61" s="96">
        <v>1.8</v>
      </c>
      <c r="E61" s="94"/>
      <c r="F61" s="94"/>
    </row>
    <row r="62" spans="1:6" ht="9.75" customHeight="1">
      <c r="A62" s="96"/>
      <c r="B62" s="92">
        <v>50</v>
      </c>
      <c r="C62" s="96">
        <v>1.8</v>
      </c>
      <c r="E62" s="94"/>
      <c r="F62" s="94"/>
    </row>
    <row r="63" spans="1:6" ht="9.75" customHeight="1">
      <c r="A63" s="96"/>
      <c r="B63" s="92">
        <v>51</v>
      </c>
      <c r="C63" s="96">
        <v>1.8</v>
      </c>
      <c r="E63" s="94"/>
      <c r="F63" s="94"/>
    </row>
    <row r="64" spans="1:6" ht="9.75" customHeight="1">
      <c r="A64" s="96"/>
      <c r="B64" s="92">
        <v>52</v>
      </c>
      <c r="C64" s="96">
        <v>1.8</v>
      </c>
      <c r="E64" s="94"/>
      <c r="F64" s="94"/>
    </row>
    <row r="65" spans="1:6" ht="9.75" customHeight="1">
      <c r="A65" s="96"/>
      <c r="B65" s="92">
        <v>53</v>
      </c>
      <c r="C65" s="96">
        <v>1.9</v>
      </c>
      <c r="E65" s="94"/>
      <c r="F65" s="94"/>
    </row>
    <row r="66" spans="1:6" ht="9.75" customHeight="1">
      <c r="A66" s="96"/>
      <c r="B66" s="92">
        <v>54</v>
      </c>
      <c r="C66" s="96">
        <v>1.9</v>
      </c>
      <c r="E66" s="94"/>
      <c r="F66" s="94"/>
    </row>
    <row r="67" spans="1:6" ht="9.75" customHeight="1">
      <c r="A67" s="96"/>
      <c r="B67" s="92">
        <v>55</v>
      </c>
      <c r="C67" s="96">
        <v>1.9</v>
      </c>
      <c r="E67" s="94"/>
      <c r="F67" s="94"/>
    </row>
    <row r="68" spans="1:6" ht="9.75" customHeight="1">
      <c r="A68" s="96"/>
      <c r="B68" s="92">
        <v>56</v>
      </c>
      <c r="C68" s="96">
        <v>1.9</v>
      </c>
      <c r="E68" s="94"/>
      <c r="F68" s="94">
        <f>200/60</f>
        <v>3.3333333333333335</v>
      </c>
    </row>
    <row r="69" spans="1:6" ht="9.75" customHeight="1">
      <c r="A69" s="96"/>
      <c r="B69" s="92">
        <v>57</v>
      </c>
      <c r="C69" s="96">
        <v>1.9</v>
      </c>
      <c r="E69" s="94">
        <v>61</v>
      </c>
      <c r="F69" s="142">
        <f>E69*$F$68</f>
        <v>203.33333333333334</v>
      </c>
    </row>
    <row r="70" spans="1:6" ht="9.75" customHeight="1">
      <c r="A70" s="96"/>
      <c r="B70" s="92">
        <v>58</v>
      </c>
      <c r="C70" s="96">
        <v>2</v>
      </c>
      <c r="E70" s="94">
        <v>62</v>
      </c>
      <c r="F70" s="142">
        <f aca="true" t="shared" si="0" ref="F70:F98">E70*$F$68</f>
        <v>206.66666666666669</v>
      </c>
    </row>
    <row r="71" spans="1:6" ht="9.75" customHeight="1">
      <c r="A71" s="96"/>
      <c r="B71" s="92">
        <v>59</v>
      </c>
      <c r="C71" s="96">
        <v>2</v>
      </c>
      <c r="E71" s="94">
        <v>63</v>
      </c>
      <c r="F71" s="142">
        <f t="shared" si="0"/>
        <v>210</v>
      </c>
    </row>
    <row r="72" spans="2:6" ht="9.75" customHeight="1">
      <c r="B72" s="92">
        <v>60</v>
      </c>
      <c r="C72" s="96">
        <v>2</v>
      </c>
      <c r="E72" s="94">
        <v>64</v>
      </c>
      <c r="F72" s="142">
        <f t="shared" si="0"/>
        <v>213.33333333333334</v>
      </c>
    </row>
    <row r="73" spans="1:6" ht="9.75" customHeight="1">
      <c r="A73" s="94"/>
      <c r="B73" s="92">
        <v>61</v>
      </c>
      <c r="C73" s="96">
        <v>2.03</v>
      </c>
      <c r="E73" s="94">
        <v>65</v>
      </c>
      <c r="F73" s="142">
        <f t="shared" si="0"/>
        <v>216.66666666666669</v>
      </c>
    </row>
    <row r="74" spans="1:6" ht="9.75" customHeight="1">
      <c r="A74" s="94"/>
      <c r="B74" s="92">
        <v>62</v>
      </c>
      <c r="C74" s="96">
        <v>2.07</v>
      </c>
      <c r="E74" s="94">
        <v>66</v>
      </c>
      <c r="F74" s="142">
        <f t="shared" si="0"/>
        <v>220</v>
      </c>
    </row>
    <row r="75" spans="1:6" ht="9.75" customHeight="1">
      <c r="A75" s="94"/>
      <c r="B75" s="92">
        <v>63</v>
      </c>
      <c r="C75" s="96">
        <v>2.1</v>
      </c>
      <c r="E75" s="94">
        <v>67</v>
      </c>
      <c r="F75" s="142">
        <f t="shared" si="0"/>
        <v>223.33333333333334</v>
      </c>
    </row>
    <row r="76" spans="1:6" ht="9.75" customHeight="1">
      <c r="A76" s="94"/>
      <c r="B76" s="92">
        <v>64</v>
      </c>
      <c r="C76" s="96">
        <v>2.13</v>
      </c>
      <c r="E76" s="94">
        <v>68</v>
      </c>
      <c r="F76" s="142">
        <f t="shared" si="0"/>
        <v>226.66666666666669</v>
      </c>
    </row>
    <row r="77" spans="1:6" ht="9.75" customHeight="1">
      <c r="A77" s="94"/>
      <c r="B77" s="92">
        <v>65</v>
      </c>
      <c r="C77" s="96">
        <v>2.17</v>
      </c>
      <c r="E77" s="94">
        <v>69</v>
      </c>
      <c r="F77" s="142">
        <f t="shared" si="0"/>
        <v>230</v>
      </c>
    </row>
    <row r="78" spans="1:6" ht="9.75" customHeight="1">
      <c r="A78" s="94"/>
      <c r="B78" s="92">
        <v>66</v>
      </c>
      <c r="C78" s="96">
        <v>2.2</v>
      </c>
      <c r="E78" s="94">
        <v>70</v>
      </c>
      <c r="F78" s="142">
        <f t="shared" si="0"/>
        <v>233.33333333333334</v>
      </c>
    </row>
    <row r="79" spans="1:6" ht="9.75" customHeight="1">
      <c r="A79" s="94"/>
      <c r="B79" s="92">
        <v>67</v>
      </c>
      <c r="C79" s="96">
        <v>2.23</v>
      </c>
      <c r="E79" s="94">
        <v>71</v>
      </c>
      <c r="F79" s="142">
        <f t="shared" si="0"/>
        <v>236.66666666666669</v>
      </c>
    </row>
    <row r="80" spans="1:6" ht="9.75" customHeight="1">
      <c r="A80" s="94"/>
      <c r="B80" s="92">
        <v>68</v>
      </c>
      <c r="C80" s="96">
        <v>2.27</v>
      </c>
      <c r="E80" s="94">
        <v>72</v>
      </c>
      <c r="F80" s="142">
        <f t="shared" si="0"/>
        <v>240</v>
      </c>
    </row>
    <row r="81" spans="1:6" ht="9.75" customHeight="1">
      <c r="A81" s="94"/>
      <c r="B81" s="92">
        <v>69</v>
      </c>
      <c r="C81" s="96">
        <v>2.3</v>
      </c>
      <c r="E81" s="94">
        <v>73</v>
      </c>
      <c r="F81" s="142">
        <f t="shared" si="0"/>
        <v>243.33333333333334</v>
      </c>
    </row>
    <row r="82" spans="1:6" ht="9.75" customHeight="1">
      <c r="A82" s="94"/>
      <c r="B82" s="92">
        <v>70</v>
      </c>
      <c r="C82" s="96">
        <v>2.33</v>
      </c>
      <c r="E82" s="94">
        <v>74</v>
      </c>
      <c r="F82" s="142">
        <f t="shared" si="0"/>
        <v>246.66666666666669</v>
      </c>
    </row>
    <row r="83" spans="1:6" ht="9.75" customHeight="1">
      <c r="A83" s="94"/>
      <c r="B83" s="92">
        <v>71</v>
      </c>
      <c r="C83" s="96">
        <v>2.37</v>
      </c>
      <c r="E83" s="94">
        <v>75</v>
      </c>
      <c r="F83" s="142">
        <f t="shared" si="0"/>
        <v>250</v>
      </c>
    </row>
    <row r="84" spans="1:6" ht="9.75" customHeight="1">
      <c r="A84" s="94"/>
      <c r="B84" s="92">
        <v>72</v>
      </c>
      <c r="C84" s="96">
        <v>2.4</v>
      </c>
      <c r="E84" s="94">
        <v>76</v>
      </c>
      <c r="F84" s="142">
        <f t="shared" si="0"/>
        <v>253.33333333333334</v>
      </c>
    </row>
    <row r="85" spans="1:6" ht="9.75" customHeight="1">
      <c r="A85" s="94"/>
      <c r="B85" s="92">
        <v>73</v>
      </c>
      <c r="C85" s="96">
        <v>2.43</v>
      </c>
      <c r="E85" s="94">
        <v>77</v>
      </c>
      <c r="F85" s="142">
        <f t="shared" si="0"/>
        <v>256.6666666666667</v>
      </c>
    </row>
    <row r="86" spans="1:6" ht="9.75" customHeight="1">
      <c r="A86" s="94"/>
      <c r="B86" s="92">
        <v>74</v>
      </c>
      <c r="C86" s="96">
        <v>2.47</v>
      </c>
      <c r="E86" s="94">
        <v>78</v>
      </c>
      <c r="F86" s="142">
        <f t="shared" si="0"/>
        <v>260</v>
      </c>
    </row>
    <row r="87" spans="1:6" ht="9.75" customHeight="1">
      <c r="A87" s="94"/>
      <c r="B87" s="92">
        <v>75</v>
      </c>
      <c r="C87" s="96">
        <v>2.5</v>
      </c>
      <c r="E87" s="94">
        <v>79</v>
      </c>
      <c r="F87" s="142">
        <f t="shared" si="0"/>
        <v>263.33333333333337</v>
      </c>
    </row>
    <row r="88" spans="1:6" ht="9.75" customHeight="1">
      <c r="A88" s="94"/>
      <c r="B88" s="92">
        <v>76</v>
      </c>
      <c r="C88" s="96">
        <v>2.53</v>
      </c>
      <c r="E88" s="94">
        <v>80</v>
      </c>
      <c r="F88" s="142">
        <f t="shared" si="0"/>
        <v>266.6666666666667</v>
      </c>
    </row>
    <row r="89" spans="1:6" ht="9.75" customHeight="1">
      <c r="A89" s="94"/>
      <c r="B89" s="92">
        <v>77</v>
      </c>
      <c r="C89" s="96">
        <v>2.57</v>
      </c>
      <c r="E89" s="94">
        <v>81</v>
      </c>
      <c r="F89" s="142">
        <f t="shared" si="0"/>
        <v>270</v>
      </c>
    </row>
    <row r="90" spans="1:6" ht="9.75" customHeight="1">
      <c r="A90" s="94"/>
      <c r="B90" s="92">
        <v>78</v>
      </c>
      <c r="C90" s="96">
        <v>2.6</v>
      </c>
      <c r="E90" s="94">
        <v>82</v>
      </c>
      <c r="F90" s="142">
        <f t="shared" si="0"/>
        <v>273.33333333333337</v>
      </c>
    </row>
    <row r="91" spans="1:6" ht="9.75" customHeight="1">
      <c r="A91" s="94"/>
      <c r="B91" s="92">
        <v>79</v>
      </c>
      <c r="C91" s="96">
        <v>2.63</v>
      </c>
      <c r="E91" s="94">
        <v>83</v>
      </c>
      <c r="F91" s="142">
        <f t="shared" si="0"/>
        <v>276.6666666666667</v>
      </c>
    </row>
    <row r="92" spans="1:6" ht="9.75" customHeight="1">
      <c r="A92" s="94"/>
      <c r="B92" s="92">
        <v>80</v>
      </c>
      <c r="C92" s="96">
        <v>2.67</v>
      </c>
      <c r="E92" s="94">
        <v>84</v>
      </c>
      <c r="F92" s="142">
        <f t="shared" si="0"/>
        <v>280</v>
      </c>
    </row>
    <row r="93" spans="1:6" ht="9.75" customHeight="1">
      <c r="A93" s="94"/>
      <c r="B93" s="92">
        <v>81</v>
      </c>
      <c r="C93" s="96">
        <v>2.7</v>
      </c>
      <c r="E93" s="94">
        <v>85</v>
      </c>
      <c r="F93" s="142">
        <f t="shared" si="0"/>
        <v>283.33333333333337</v>
      </c>
    </row>
    <row r="94" spans="1:6" ht="9.75" customHeight="1">
      <c r="A94" s="94"/>
      <c r="B94" s="92">
        <v>82</v>
      </c>
      <c r="C94" s="96">
        <v>2.73</v>
      </c>
      <c r="E94" s="94">
        <v>86</v>
      </c>
      <c r="F94" s="142">
        <f t="shared" si="0"/>
        <v>286.6666666666667</v>
      </c>
    </row>
    <row r="95" spans="1:6" ht="9.75" customHeight="1">
      <c r="A95" s="94"/>
      <c r="B95" s="92">
        <v>83</v>
      </c>
      <c r="C95" s="96">
        <v>2.77</v>
      </c>
      <c r="E95" s="94">
        <v>87</v>
      </c>
      <c r="F95" s="142">
        <f t="shared" si="0"/>
        <v>290</v>
      </c>
    </row>
    <row r="96" spans="1:6" ht="9.75" customHeight="1">
      <c r="A96" s="94"/>
      <c r="B96" s="92">
        <v>84</v>
      </c>
      <c r="C96" s="96">
        <v>2.8</v>
      </c>
      <c r="E96" s="94">
        <v>120</v>
      </c>
      <c r="F96" s="142">
        <f t="shared" si="0"/>
        <v>400</v>
      </c>
    </row>
    <row r="97" spans="1:6" ht="9.75" customHeight="1">
      <c r="A97" s="94"/>
      <c r="B97" s="92">
        <v>85</v>
      </c>
      <c r="C97" s="96">
        <v>2.83</v>
      </c>
      <c r="E97" s="94">
        <v>180</v>
      </c>
      <c r="F97" s="142">
        <f t="shared" si="0"/>
        <v>600</v>
      </c>
    </row>
    <row r="98" spans="1:6" ht="9.75" customHeight="1">
      <c r="A98" s="94"/>
      <c r="B98" s="92">
        <v>86</v>
      </c>
      <c r="C98" s="96">
        <v>2.87</v>
      </c>
      <c r="E98" s="94">
        <v>240</v>
      </c>
      <c r="F98" s="142">
        <f t="shared" si="0"/>
        <v>800</v>
      </c>
    </row>
    <row r="99" spans="1:6" ht="9.75" customHeight="1">
      <c r="A99" s="94"/>
      <c r="B99" s="92">
        <v>87</v>
      </c>
      <c r="C99" s="96">
        <v>2.9</v>
      </c>
      <c r="E99" s="94"/>
      <c r="F99" s="94"/>
    </row>
    <row r="100" spans="1:6" ht="9.75" customHeight="1">
      <c r="A100" s="143"/>
      <c r="B100" s="92">
        <v>120</v>
      </c>
      <c r="C100" s="96">
        <v>4</v>
      </c>
      <c r="E100" s="143"/>
      <c r="F100" s="143"/>
    </row>
    <row r="101" spans="1:6" ht="9.75" customHeight="1">
      <c r="A101" s="143"/>
      <c r="B101" s="92">
        <v>180</v>
      </c>
      <c r="C101" s="96">
        <v>6</v>
      </c>
      <c r="E101" s="143"/>
      <c r="F101" s="143"/>
    </row>
    <row r="102" spans="1:6" ht="9.75" customHeight="1">
      <c r="A102" s="143"/>
      <c r="B102" s="92">
        <v>240</v>
      </c>
      <c r="C102" s="96">
        <v>8</v>
      </c>
      <c r="E102" s="143"/>
      <c r="F102" s="143"/>
    </row>
    <row r="103" spans="1:6" ht="9.75" customHeight="1">
      <c r="A103" s="143"/>
      <c r="B103" s="92" t="s">
        <v>43</v>
      </c>
      <c r="C103" s="103"/>
      <c r="E103" s="143"/>
      <c r="F103" s="143"/>
    </row>
    <row r="104" spans="1:6" ht="9.75" customHeight="1">
      <c r="A104" s="143"/>
      <c r="C104" s="92" t="s">
        <v>6</v>
      </c>
      <c r="E104" s="143"/>
      <c r="F104" s="143"/>
    </row>
    <row r="105" spans="1:6" ht="9.75" customHeight="1">
      <c r="A105" s="143"/>
      <c r="E105" s="143"/>
      <c r="F105" s="143"/>
    </row>
    <row r="106" spans="1:6" ht="9.75" customHeight="1">
      <c r="A106" s="143"/>
      <c r="E106" s="143"/>
      <c r="F106" s="143"/>
    </row>
    <row r="107" spans="5:6" ht="9.75" customHeight="1">
      <c r="E107" s="143"/>
      <c r="F107" s="143"/>
    </row>
    <row r="108" spans="5:6" ht="9.75" customHeight="1">
      <c r="E108" s="143"/>
      <c r="F108" s="143"/>
    </row>
    <row r="109" spans="5:6" ht="9.75" customHeight="1">
      <c r="E109" s="143"/>
      <c r="F109" s="143"/>
    </row>
    <row r="110" spans="5:6" ht="9.75" customHeight="1">
      <c r="E110" s="143"/>
      <c r="F110" s="143"/>
    </row>
    <row r="111" spans="5:6" ht="9.75" customHeight="1">
      <c r="E111" s="143"/>
      <c r="F111" s="143"/>
    </row>
    <row r="112" spans="5:6" ht="9.75" customHeight="1">
      <c r="E112" s="143"/>
      <c r="F112" s="143"/>
    </row>
    <row r="113" spans="5:6" ht="9.75" customHeight="1">
      <c r="E113" s="143"/>
      <c r="F113" s="143"/>
    </row>
    <row r="114" spans="5:6" ht="9.75" customHeight="1">
      <c r="E114" s="143"/>
      <c r="F114" s="143"/>
    </row>
    <row r="115" spans="5:6" ht="9.75" customHeight="1">
      <c r="E115" s="143"/>
      <c r="F115" s="143"/>
    </row>
    <row r="116" spans="5:6" ht="9.75" customHeight="1">
      <c r="E116" s="94"/>
      <c r="F116" s="94"/>
    </row>
    <row r="117" spans="5:6" ht="9.75" customHeight="1">
      <c r="E117" s="94"/>
      <c r="F117" s="94"/>
    </row>
    <row r="118" spans="5:6" ht="9.75" customHeight="1">
      <c r="E118" s="94"/>
      <c r="F118" s="94"/>
    </row>
    <row r="119" spans="5:6" ht="9.75" customHeight="1">
      <c r="E119" s="94"/>
      <c r="F119" s="94"/>
    </row>
    <row r="120" spans="5:6" ht="9.75" customHeight="1">
      <c r="E120" s="94"/>
      <c r="F120" s="94"/>
    </row>
    <row r="121" spans="5:6" ht="9.75" customHeight="1">
      <c r="E121" s="94"/>
      <c r="F121" s="94"/>
    </row>
    <row r="122" spans="5:6" ht="9.75" customHeight="1">
      <c r="E122" s="94"/>
      <c r="F122" s="94"/>
    </row>
    <row r="123" spans="5:6" ht="9.75" customHeight="1">
      <c r="E123" s="94"/>
      <c r="F123" s="94"/>
    </row>
    <row r="124" spans="5:6" ht="9.75" customHeight="1">
      <c r="E124" s="94"/>
      <c r="F124" s="94"/>
    </row>
    <row r="125" spans="5:6" ht="9.75" customHeight="1">
      <c r="E125" s="94"/>
      <c r="F125" s="94"/>
    </row>
    <row r="126" spans="5:6" ht="9.75" customHeight="1">
      <c r="E126" s="94"/>
      <c r="F126" s="94"/>
    </row>
    <row r="127" spans="5:6" ht="9.75" customHeight="1">
      <c r="E127" s="94"/>
      <c r="F127" s="94"/>
    </row>
    <row r="128" spans="5:6" ht="9.75" customHeight="1">
      <c r="E128" s="94"/>
      <c r="F128" s="94"/>
    </row>
    <row r="129" spans="5:6" ht="9.75" customHeight="1">
      <c r="E129" s="94"/>
      <c r="F129" s="94"/>
    </row>
    <row r="130" spans="5:6" ht="9.75" customHeight="1">
      <c r="E130" s="94"/>
      <c r="F130" s="94"/>
    </row>
    <row r="131" spans="5:6" ht="9.75" customHeight="1">
      <c r="E131" s="94"/>
      <c r="F131" s="94"/>
    </row>
    <row r="132" spans="5:6" ht="9.75" customHeight="1">
      <c r="E132" s="94"/>
      <c r="F132" s="94"/>
    </row>
    <row r="133" spans="5:6" ht="9.75" customHeight="1">
      <c r="E133" s="94"/>
      <c r="F133" s="94"/>
    </row>
    <row r="134" spans="5:6" ht="9.75" customHeight="1">
      <c r="E134" s="94"/>
      <c r="F134" s="94"/>
    </row>
    <row r="135" spans="5:6" ht="9.75" customHeight="1">
      <c r="E135" s="94"/>
      <c r="F135" s="94"/>
    </row>
    <row r="136" spans="5:6" ht="9.75" customHeight="1">
      <c r="E136" s="94"/>
      <c r="F136" s="94"/>
    </row>
    <row r="137" spans="5:6" ht="9.75" customHeight="1">
      <c r="E137" s="94"/>
      <c r="F137" s="94"/>
    </row>
    <row r="138" spans="5:6" ht="9.75" customHeight="1">
      <c r="E138" s="94"/>
      <c r="F138" s="94"/>
    </row>
    <row r="139" spans="5:6" ht="9.75" customHeight="1">
      <c r="E139" s="94"/>
      <c r="F139" s="94"/>
    </row>
    <row r="140" spans="5:6" ht="9.75" customHeight="1">
      <c r="E140" s="94"/>
      <c r="F140" s="94"/>
    </row>
    <row r="141" spans="5:6" ht="9.75" customHeight="1">
      <c r="E141" s="94"/>
      <c r="F141" s="94"/>
    </row>
    <row r="142" spans="5:6" ht="9.75" customHeight="1">
      <c r="E142" s="94"/>
      <c r="F142" s="94"/>
    </row>
    <row r="143" spans="5:6" ht="9.75" customHeight="1">
      <c r="E143" s="94"/>
      <c r="F143" s="94"/>
    </row>
    <row r="144" spans="5:6" ht="9.75" customHeight="1">
      <c r="E144" s="94"/>
      <c r="F144" s="94"/>
    </row>
    <row r="145" spans="5:6" ht="9.75" customHeight="1">
      <c r="E145" s="94"/>
      <c r="F145" s="94"/>
    </row>
    <row r="146" spans="5:6" ht="9.75" customHeight="1">
      <c r="E146" s="94"/>
      <c r="F146" s="94"/>
    </row>
    <row r="147" spans="5:6" ht="9.75" customHeight="1">
      <c r="E147" s="94"/>
      <c r="F147" s="94"/>
    </row>
    <row r="148" spans="5:6" ht="9.75" customHeight="1">
      <c r="E148" s="94"/>
      <c r="F148" s="94"/>
    </row>
    <row r="149" spans="5:6" ht="9.75" customHeight="1">
      <c r="E149" s="94"/>
      <c r="F149" s="94"/>
    </row>
    <row r="150" spans="5:6" ht="9.75" customHeight="1">
      <c r="E150" s="94"/>
      <c r="F150" s="94"/>
    </row>
    <row r="151" spans="5:6" ht="9.75" customHeight="1">
      <c r="E151" s="94"/>
      <c r="F151" s="94"/>
    </row>
    <row r="152" spans="5:6" ht="9.75" customHeight="1">
      <c r="E152" s="94"/>
      <c r="F152" s="94"/>
    </row>
    <row r="153" spans="5:6" ht="9.75" customHeight="1">
      <c r="E153" s="94"/>
      <c r="F153" s="94"/>
    </row>
    <row r="154" spans="5:6" ht="9.75" customHeight="1">
      <c r="E154" s="94"/>
      <c r="F154" s="94"/>
    </row>
    <row r="155" spans="5:6" ht="9.75" customHeight="1">
      <c r="E155" s="94"/>
      <c r="F155" s="94"/>
    </row>
    <row r="156" spans="5:6" ht="9.75" customHeight="1">
      <c r="E156" s="94"/>
      <c r="F156" s="94"/>
    </row>
    <row r="157" spans="5:6" ht="9.75" customHeight="1">
      <c r="E157" s="94"/>
      <c r="F157" s="94"/>
    </row>
    <row r="158" spans="5:6" ht="9.75" customHeight="1">
      <c r="E158" s="94"/>
      <c r="F158" s="94"/>
    </row>
    <row r="159" spans="5:6" ht="9.75" customHeight="1">
      <c r="E159" s="94"/>
      <c r="F159" s="94"/>
    </row>
    <row r="160" spans="5:6" ht="9.75" customHeight="1">
      <c r="E160" s="94"/>
      <c r="F160" s="94"/>
    </row>
    <row r="161" spans="5:6" ht="9.75" customHeight="1">
      <c r="E161" s="94"/>
      <c r="F161" s="94"/>
    </row>
    <row r="162" spans="5:6" ht="9.75" customHeight="1">
      <c r="E162" s="94"/>
      <c r="F162" s="94"/>
    </row>
    <row r="163" spans="5:6" ht="9.75" customHeight="1">
      <c r="E163" s="94"/>
      <c r="F163" s="94"/>
    </row>
    <row r="164" spans="5:6" ht="9.75" customHeight="1">
      <c r="E164" s="94"/>
      <c r="F164" s="94"/>
    </row>
    <row r="165" spans="5:6" ht="9.75" customHeight="1">
      <c r="E165" s="94"/>
      <c r="F165" s="94"/>
    </row>
    <row r="166" spans="5:6" ht="9.75" customHeight="1">
      <c r="E166" s="94"/>
      <c r="F166" s="94"/>
    </row>
    <row r="167" spans="5:6" ht="9.75" customHeight="1">
      <c r="E167" s="94"/>
      <c r="F167" s="94"/>
    </row>
    <row r="168" spans="5:6" ht="9.75" customHeight="1">
      <c r="E168" s="94"/>
      <c r="F168" s="94"/>
    </row>
    <row r="169" spans="5:6" ht="9.75" customHeight="1">
      <c r="E169" s="94"/>
      <c r="F169" s="94"/>
    </row>
    <row r="170" spans="5:6" ht="9.75" customHeight="1">
      <c r="E170" s="94"/>
      <c r="F170" s="94"/>
    </row>
    <row r="171" spans="5:6" ht="9.75" customHeight="1">
      <c r="E171" s="94"/>
      <c r="F171" s="94"/>
    </row>
    <row r="172" spans="5:6" ht="9.75" customHeight="1">
      <c r="E172" s="94"/>
      <c r="F172" s="94"/>
    </row>
    <row r="173" spans="5:6" ht="9.75" customHeight="1">
      <c r="E173" s="94"/>
      <c r="F173" s="94"/>
    </row>
    <row r="174" spans="5:6" ht="9.75" customHeight="1">
      <c r="E174" s="94"/>
      <c r="F174" s="94"/>
    </row>
    <row r="175" spans="5:6" ht="9.75" customHeight="1">
      <c r="E175" s="94"/>
      <c r="F175" s="94"/>
    </row>
    <row r="176" spans="5:6" ht="9.75" customHeight="1">
      <c r="E176" s="94"/>
      <c r="F176" s="94"/>
    </row>
    <row r="177" spans="5:6" ht="9.75" customHeight="1">
      <c r="E177" s="94"/>
      <c r="F177" s="94"/>
    </row>
    <row r="178" spans="5:6" ht="9.75" customHeight="1">
      <c r="E178" s="94"/>
      <c r="F178" s="94"/>
    </row>
    <row r="179" spans="5:6" ht="9.75" customHeight="1">
      <c r="E179" s="94"/>
      <c r="F179" s="94"/>
    </row>
    <row r="180" spans="5:6" ht="9.75" customHeight="1">
      <c r="E180" s="94"/>
      <c r="F180" s="94"/>
    </row>
    <row r="181" spans="5:6" ht="9.75" customHeight="1">
      <c r="E181" s="94"/>
      <c r="F181" s="94"/>
    </row>
    <row r="182" spans="5:6" ht="9.75" customHeight="1">
      <c r="E182" s="94"/>
      <c r="F182" s="94"/>
    </row>
    <row r="183" spans="5:6" ht="9.75" customHeight="1">
      <c r="E183" s="94"/>
      <c r="F183" s="94"/>
    </row>
    <row r="184" spans="5:6" ht="9.75" customHeight="1">
      <c r="E184" s="94"/>
      <c r="F184" s="94"/>
    </row>
    <row r="185" spans="5:6" ht="9.75" customHeight="1">
      <c r="E185" s="94"/>
      <c r="F185" s="94"/>
    </row>
    <row r="186" spans="5:6" ht="9.75" customHeight="1">
      <c r="E186" s="94"/>
      <c r="F186" s="94"/>
    </row>
    <row r="187" spans="5:6" ht="9.75" customHeight="1">
      <c r="E187" s="94"/>
      <c r="F187" s="94"/>
    </row>
    <row r="188" spans="5:6" ht="9.75" customHeight="1">
      <c r="E188" s="94"/>
      <c r="F188" s="94"/>
    </row>
    <row r="189" spans="5:6" ht="9.75" customHeight="1">
      <c r="E189" s="94"/>
      <c r="F189" s="94"/>
    </row>
    <row r="190" spans="5:6" ht="9.75" customHeight="1">
      <c r="E190" s="94"/>
      <c r="F190" s="94"/>
    </row>
    <row r="191" spans="5:6" ht="9.75" customHeight="1">
      <c r="E191" s="94"/>
      <c r="F191" s="94"/>
    </row>
    <row r="192" spans="5:6" ht="9.75" customHeight="1">
      <c r="E192" s="94"/>
      <c r="F192" s="94"/>
    </row>
    <row r="193" spans="5:6" ht="9.75" customHeight="1">
      <c r="E193" s="94"/>
      <c r="F193" s="94"/>
    </row>
    <row r="194" spans="5:6" ht="9.75" customHeight="1">
      <c r="E194" s="94"/>
      <c r="F194" s="94"/>
    </row>
    <row r="195" spans="5:6" ht="9.75" customHeight="1">
      <c r="E195" s="94"/>
      <c r="F195" s="94"/>
    </row>
    <row r="196" spans="5:6" ht="9.75" customHeight="1">
      <c r="E196" s="94"/>
      <c r="F196" s="94"/>
    </row>
    <row r="197" spans="5:6" ht="9.75" customHeight="1">
      <c r="E197" s="94"/>
      <c r="F197" s="94"/>
    </row>
    <row r="198" spans="5:6" ht="9.75" customHeight="1">
      <c r="E198" s="94"/>
      <c r="F198" s="94"/>
    </row>
    <row r="199" spans="5:6" ht="9.75" customHeight="1">
      <c r="E199" s="94"/>
      <c r="F199" s="94"/>
    </row>
    <row r="200" spans="5:6" ht="9.75" customHeight="1">
      <c r="E200" s="94"/>
      <c r="F200" s="94"/>
    </row>
    <row r="201" spans="5:6" ht="9.75" customHeight="1">
      <c r="E201" s="94"/>
      <c r="F201" s="94"/>
    </row>
    <row r="202" spans="5:6" ht="9.75" customHeight="1">
      <c r="E202" s="94"/>
      <c r="F202" s="94"/>
    </row>
    <row r="203" spans="5:6" ht="9.75" customHeight="1">
      <c r="E203" s="94"/>
      <c r="F203" s="94"/>
    </row>
    <row r="204" spans="5:6" ht="9.75" customHeight="1">
      <c r="E204" s="94"/>
      <c r="F204" s="94"/>
    </row>
    <row r="205" spans="5:6" ht="9.75" customHeight="1">
      <c r="E205" s="94"/>
      <c r="F205" s="94"/>
    </row>
    <row r="206" spans="5:6" ht="9.75" customHeight="1">
      <c r="E206" s="94"/>
      <c r="F206" s="94"/>
    </row>
    <row r="207" spans="5:6" ht="9.75" customHeight="1">
      <c r="E207" s="94"/>
      <c r="F207" s="94"/>
    </row>
    <row r="208" spans="5:6" ht="9.75" customHeight="1">
      <c r="E208" s="94"/>
      <c r="F208" s="94"/>
    </row>
    <row r="209" spans="5:6" ht="9.75" customHeight="1">
      <c r="E209" s="94"/>
      <c r="F209" s="94"/>
    </row>
    <row r="210" spans="5:6" ht="9.75" customHeight="1">
      <c r="E210" s="94"/>
      <c r="F210" s="94"/>
    </row>
    <row r="211" spans="5:6" ht="9.75" customHeight="1">
      <c r="E211" s="94"/>
      <c r="F211" s="94"/>
    </row>
    <row r="212" spans="5:6" ht="9.75" customHeight="1">
      <c r="E212" s="94"/>
      <c r="F212" s="94"/>
    </row>
    <row r="213" spans="5:6" ht="9.75" customHeight="1">
      <c r="E213" s="94"/>
      <c r="F213" s="94"/>
    </row>
    <row r="214" spans="5:6" ht="9.75" customHeight="1">
      <c r="E214" s="94"/>
      <c r="F214" s="94"/>
    </row>
    <row r="215" spans="5:6" ht="9.75" customHeight="1">
      <c r="E215" s="94"/>
      <c r="F215" s="94"/>
    </row>
    <row r="216" spans="5:6" ht="9.75" customHeight="1">
      <c r="E216" s="94"/>
      <c r="F216" s="94"/>
    </row>
    <row r="217" spans="5:6" ht="9.75" customHeight="1">
      <c r="E217" s="94"/>
      <c r="F217" s="94"/>
    </row>
    <row r="218" spans="5:6" ht="9.75" customHeight="1">
      <c r="E218" s="94"/>
      <c r="F218" s="94"/>
    </row>
    <row r="219" spans="5:6" ht="9.75" customHeight="1">
      <c r="E219" s="94"/>
      <c r="F219" s="94"/>
    </row>
    <row r="220" spans="5:6" ht="9.75" customHeight="1">
      <c r="E220" s="94"/>
      <c r="F220" s="94"/>
    </row>
    <row r="221" spans="5:6" ht="9.75" customHeight="1">
      <c r="E221" s="94"/>
      <c r="F221" s="94"/>
    </row>
    <row r="222" spans="5:6" ht="9.75" customHeight="1">
      <c r="E222" s="94"/>
      <c r="F222" s="94"/>
    </row>
    <row r="223" spans="5:6" ht="9.75" customHeight="1">
      <c r="E223" s="94"/>
      <c r="F223" s="94"/>
    </row>
    <row r="224" spans="5:6" ht="9.75" customHeight="1">
      <c r="E224" s="94"/>
      <c r="F224" s="94"/>
    </row>
    <row r="225" spans="5:6" ht="9.75" customHeight="1">
      <c r="E225" s="94"/>
      <c r="F225" s="94"/>
    </row>
    <row r="226" spans="5:6" ht="9.75" customHeight="1">
      <c r="E226" s="94"/>
      <c r="F226" s="94"/>
    </row>
    <row r="227" spans="5:6" ht="9.75" customHeight="1">
      <c r="E227" s="94"/>
      <c r="F227" s="94"/>
    </row>
    <row r="228" spans="5:6" ht="9.75" customHeight="1">
      <c r="E228" s="94"/>
      <c r="F228" s="94"/>
    </row>
    <row r="229" spans="5:6" ht="9.75" customHeight="1">
      <c r="E229" s="94"/>
      <c r="F229" s="94"/>
    </row>
    <row r="230" spans="5:6" ht="9.75" customHeight="1">
      <c r="E230" s="94"/>
      <c r="F230" s="94"/>
    </row>
    <row r="231" spans="5:6" ht="9.75" customHeight="1">
      <c r="E231" s="94"/>
      <c r="F231" s="94"/>
    </row>
    <row r="232" spans="5:6" ht="9.75" customHeight="1">
      <c r="E232" s="94"/>
      <c r="F232" s="94"/>
    </row>
    <row r="233" spans="5:6" ht="9.75" customHeight="1">
      <c r="E233" s="94"/>
      <c r="F233" s="94"/>
    </row>
    <row r="234" spans="5:6" ht="9.75" customHeight="1">
      <c r="E234" s="94"/>
      <c r="F234" s="94"/>
    </row>
    <row r="235" spans="5:6" ht="9.75" customHeight="1">
      <c r="E235" s="94"/>
      <c r="F235" s="94"/>
    </row>
    <row r="236" spans="5:6" ht="9.75" customHeight="1">
      <c r="E236" s="143"/>
      <c r="F236" s="94"/>
    </row>
    <row r="237" spans="5:6" ht="9.75" customHeight="1">
      <c r="E237" s="143"/>
      <c r="F237" s="94"/>
    </row>
    <row r="238" spans="5:6" ht="9.75" customHeight="1">
      <c r="E238" s="143"/>
      <c r="F238" s="94"/>
    </row>
    <row r="239" spans="5:6" ht="9.75" customHeight="1">
      <c r="E239" s="143"/>
      <c r="F239" s="94"/>
    </row>
    <row r="240" spans="5:6" ht="9.75" customHeight="1">
      <c r="E240" s="143"/>
      <c r="F240" s="94"/>
    </row>
    <row r="241" spans="5:6" ht="9.75" customHeight="1">
      <c r="E241" s="143"/>
      <c r="F241" s="94"/>
    </row>
    <row r="242" spans="5:6" ht="9.75" customHeight="1">
      <c r="E242" s="143"/>
      <c r="F242" s="94"/>
    </row>
    <row r="243" spans="5:6" ht="9.75" customHeight="1">
      <c r="E243" s="143"/>
      <c r="F243" s="94"/>
    </row>
    <row r="244" spans="5:6" ht="9.75" customHeight="1">
      <c r="E244" s="143"/>
      <c r="F244" s="94"/>
    </row>
    <row r="245" spans="5:6" ht="9.75" customHeight="1">
      <c r="E245" s="143"/>
      <c r="F245" s="94"/>
    </row>
    <row r="246" spans="5:6" ht="9.75" customHeight="1">
      <c r="E246" s="143"/>
      <c r="F246" s="94"/>
    </row>
    <row r="247" spans="5:6" ht="9.75" customHeight="1">
      <c r="E247" s="143"/>
      <c r="F247" s="94"/>
    </row>
    <row r="248" spans="5:6" ht="9.75" customHeight="1">
      <c r="E248" s="143"/>
      <c r="F248" s="94"/>
    </row>
    <row r="249" spans="5:6" ht="9.75" customHeight="1">
      <c r="E249" s="143"/>
      <c r="F249" s="94"/>
    </row>
    <row r="250" spans="5:6" ht="9.75" customHeight="1">
      <c r="E250" s="143"/>
      <c r="F250" s="94"/>
    </row>
    <row r="251" spans="5:6" ht="9.75" customHeight="1">
      <c r="E251" s="143"/>
      <c r="F251" s="94"/>
    </row>
    <row r="252" spans="5:6" ht="9.75" customHeight="1">
      <c r="E252" s="94"/>
      <c r="F252" s="94"/>
    </row>
    <row r="253" spans="5:6" ht="9.75" customHeight="1">
      <c r="E253" s="94"/>
      <c r="F253" s="94"/>
    </row>
    <row r="254" spans="5:6" ht="9.75" customHeight="1">
      <c r="E254" s="94"/>
      <c r="F254" s="94"/>
    </row>
    <row r="255" spans="5:6" ht="9.75" customHeight="1">
      <c r="E255" s="94"/>
      <c r="F255" s="94"/>
    </row>
    <row r="256" spans="5:6" ht="9.75" customHeight="1">
      <c r="E256" s="94"/>
      <c r="F256" s="94"/>
    </row>
    <row r="257" spans="5:6" ht="9.75" customHeight="1">
      <c r="E257" s="94"/>
      <c r="F257" s="94"/>
    </row>
    <row r="258" spans="5:6" ht="9.75" customHeight="1">
      <c r="E258" s="94"/>
      <c r="F258" s="94"/>
    </row>
    <row r="259" spans="5:6" ht="9.75" customHeight="1">
      <c r="E259" s="94"/>
      <c r="F259" s="94"/>
    </row>
    <row r="260" spans="5:6" ht="9.75" customHeight="1">
      <c r="E260" s="94"/>
      <c r="F260" s="94"/>
    </row>
    <row r="261" spans="5:6" ht="9.75" customHeight="1">
      <c r="E261" s="94"/>
      <c r="F261" s="94"/>
    </row>
    <row r="262" spans="5:6" ht="9.75" customHeight="1">
      <c r="E262" s="94"/>
      <c r="F262" s="94"/>
    </row>
    <row r="263" spans="5:6" ht="9.75" customHeight="1">
      <c r="E263" s="94"/>
      <c r="F263" s="94"/>
    </row>
    <row r="264" spans="5:6" ht="9.75" customHeight="1">
      <c r="E264" s="94"/>
      <c r="F264" s="94"/>
    </row>
    <row r="265" spans="5:6" ht="9.75" customHeight="1">
      <c r="E265" s="94"/>
      <c r="F265" s="94"/>
    </row>
    <row r="266" spans="5:6" ht="9.75" customHeight="1">
      <c r="E266" s="94"/>
      <c r="F266" s="94"/>
    </row>
    <row r="267" spans="5:6" ht="9.75" customHeight="1">
      <c r="E267" s="94"/>
      <c r="F267" s="94"/>
    </row>
    <row r="268" spans="5:6" ht="9.75" customHeight="1">
      <c r="E268" s="94"/>
      <c r="F268" s="94"/>
    </row>
    <row r="269" spans="5:6" ht="9.75" customHeight="1">
      <c r="E269" s="94"/>
      <c r="F269" s="94"/>
    </row>
    <row r="270" spans="5:6" ht="9.75" customHeight="1">
      <c r="E270" s="94"/>
      <c r="F270" s="94"/>
    </row>
    <row r="271" spans="5:6" ht="9.75" customHeight="1">
      <c r="E271" s="94"/>
      <c r="F271" s="94"/>
    </row>
    <row r="272" spans="5:6" ht="9.75" customHeight="1">
      <c r="E272" s="94"/>
      <c r="F272" s="94"/>
    </row>
    <row r="273" spans="5:6" ht="9.75" customHeight="1">
      <c r="E273" s="94"/>
      <c r="F273" s="94"/>
    </row>
    <row r="274" spans="5:6" ht="9.75" customHeight="1">
      <c r="E274" s="94"/>
      <c r="F274" s="94"/>
    </row>
    <row r="275" spans="5:6" ht="9.75" customHeight="1">
      <c r="E275" s="94"/>
      <c r="F275" s="94"/>
    </row>
    <row r="276" spans="5:6" ht="9.75" customHeight="1">
      <c r="E276" s="94"/>
      <c r="F276" s="94"/>
    </row>
    <row r="277" spans="5:6" ht="9.75" customHeight="1">
      <c r="E277" s="94"/>
      <c r="F277" s="94"/>
    </row>
    <row r="278" spans="5:6" ht="9.75" customHeight="1">
      <c r="E278" s="94"/>
      <c r="F278" s="94"/>
    </row>
    <row r="279" spans="5:6" ht="9.75" customHeight="1">
      <c r="E279" s="94"/>
      <c r="F279" s="94"/>
    </row>
    <row r="280" spans="5:6" ht="9.75" customHeight="1">
      <c r="E280" s="94"/>
      <c r="F280" s="94"/>
    </row>
    <row r="281" spans="5:6" ht="9.75" customHeight="1">
      <c r="E281" s="94"/>
      <c r="F281" s="94"/>
    </row>
    <row r="282" spans="5:6" ht="9.75" customHeight="1">
      <c r="E282" s="94"/>
      <c r="F282" s="94"/>
    </row>
    <row r="283" spans="5:6" ht="9.75" customHeight="1">
      <c r="E283" s="94"/>
      <c r="F283" s="94"/>
    </row>
    <row r="284" spans="5:6" ht="9.75" customHeight="1">
      <c r="E284" s="94"/>
      <c r="F284" s="94"/>
    </row>
    <row r="285" spans="5:6" ht="9.75" customHeight="1">
      <c r="E285" s="94"/>
      <c r="F285" s="94"/>
    </row>
    <row r="286" spans="5:6" ht="9.75" customHeight="1">
      <c r="E286" s="94"/>
      <c r="F286" s="94"/>
    </row>
    <row r="287" spans="5:6" ht="9.75" customHeight="1">
      <c r="E287" s="94"/>
      <c r="F287" s="94"/>
    </row>
    <row r="288" spans="5:6" ht="9.75" customHeight="1">
      <c r="E288" s="94"/>
      <c r="F288" s="94"/>
    </row>
    <row r="289" spans="5:6" ht="9.75" customHeight="1">
      <c r="E289" s="94"/>
      <c r="F289" s="94"/>
    </row>
    <row r="290" spans="5:6" ht="9.75" customHeight="1">
      <c r="E290" s="94"/>
      <c r="F290" s="94"/>
    </row>
    <row r="291" spans="5:6" ht="9.75" customHeight="1">
      <c r="E291" s="94"/>
      <c r="F291" s="94"/>
    </row>
    <row r="292" spans="5:6" ht="9.75" customHeight="1">
      <c r="E292" s="94"/>
      <c r="F292" s="94"/>
    </row>
    <row r="293" spans="5:6" ht="9.75" customHeight="1">
      <c r="E293" s="94"/>
      <c r="F293" s="94"/>
    </row>
    <row r="294" spans="5:6" ht="9.75" customHeight="1">
      <c r="E294" s="94"/>
      <c r="F294" s="94"/>
    </row>
    <row r="295" spans="5:6" ht="9.75" customHeight="1">
      <c r="E295" s="94"/>
      <c r="F295" s="94"/>
    </row>
    <row r="296" spans="5:6" ht="9.75" customHeight="1">
      <c r="E296" s="94"/>
      <c r="F296" s="94"/>
    </row>
    <row r="297" spans="5:6" ht="9.75" customHeight="1">
      <c r="E297" s="94"/>
      <c r="F297" s="94"/>
    </row>
    <row r="298" spans="5:6" ht="9.75" customHeight="1">
      <c r="E298" s="94"/>
      <c r="F298" s="94"/>
    </row>
    <row r="299" spans="5:6" ht="9.75" customHeight="1">
      <c r="E299" s="94"/>
      <c r="F299" s="94"/>
    </row>
    <row r="300" spans="5:6" ht="9.75" customHeight="1">
      <c r="E300" s="94"/>
      <c r="F300" s="94"/>
    </row>
    <row r="301" spans="5:6" ht="9.75" customHeight="1">
      <c r="E301" s="94"/>
      <c r="F301" s="94"/>
    </row>
    <row r="302" spans="5:6" ht="9.75" customHeight="1">
      <c r="E302" s="94"/>
      <c r="F302" s="94"/>
    </row>
    <row r="303" spans="5:6" ht="9.75" customHeight="1">
      <c r="E303" s="94"/>
      <c r="F303" s="94"/>
    </row>
    <row r="304" spans="5:6" ht="9.75" customHeight="1">
      <c r="E304" s="94"/>
      <c r="F304" s="94"/>
    </row>
    <row r="305" spans="5:6" ht="9.75" customHeight="1">
      <c r="E305" s="94"/>
      <c r="F305" s="94"/>
    </row>
    <row r="306" spans="5:6" ht="9.75" customHeight="1">
      <c r="E306" s="94"/>
      <c r="F306" s="94"/>
    </row>
    <row r="307" spans="5:6" ht="9.75" customHeight="1">
      <c r="E307" s="94"/>
      <c r="F307" s="94"/>
    </row>
    <row r="308" spans="5:6" ht="9.75" customHeight="1">
      <c r="E308" s="94"/>
      <c r="F308" s="94"/>
    </row>
    <row r="309" spans="5:6" ht="9.75" customHeight="1">
      <c r="E309" s="94"/>
      <c r="F309" s="94"/>
    </row>
    <row r="310" spans="5:6" ht="9.75" customHeight="1">
      <c r="E310" s="94"/>
      <c r="F310" s="94"/>
    </row>
    <row r="311" spans="5:6" ht="9.75" customHeight="1">
      <c r="E311" s="94"/>
      <c r="F311" s="94"/>
    </row>
    <row r="312" spans="5:6" ht="9.75" customHeight="1">
      <c r="E312" s="94"/>
      <c r="F312" s="94"/>
    </row>
    <row r="313" spans="5:6" ht="9.75" customHeight="1">
      <c r="E313" s="94"/>
      <c r="F313" s="94"/>
    </row>
    <row r="314" ht="9.75" customHeight="1"/>
    <row r="315" ht="9.75" customHeight="1"/>
    <row r="316" ht="9.75" customHeight="1"/>
    <row r="317" ht="9.75" customHeight="1"/>
    <row r="318" ht="9.75" customHeight="1"/>
    <row r="319" ht="9.75" customHeight="1"/>
    <row r="320" ht="9.75" customHeight="1"/>
    <row r="321" ht="9.75" customHeight="1"/>
    <row r="322" ht="9.75" customHeight="1"/>
    <row r="323" ht="9.75" customHeight="1"/>
    <row r="324" ht="9.75" customHeight="1"/>
    <row r="325" ht="9.75" customHeight="1"/>
    <row r="326" ht="9.75" customHeight="1"/>
    <row r="327" ht="9.75" customHeight="1"/>
    <row r="328" ht="9.75" customHeight="1"/>
    <row r="329" ht="9.75" customHeight="1"/>
    <row r="330" ht="9.75" customHeight="1"/>
    <row r="331" ht="9.75" customHeight="1"/>
    <row r="332" ht="9.75" customHeight="1"/>
    <row r="333" ht="9.75" customHeight="1"/>
    <row r="334" ht="9.75" customHeight="1"/>
    <row r="335" ht="9.75" customHeight="1"/>
    <row r="336" ht="9.75" customHeight="1"/>
    <row r="337" ht="9.75" customHeight="1"/>
    <row r="338" ht="9.75" customHeight="1"/>
    <row r="339" ht="9.75" customHeight="1"/>
    <row r="340" ht="9.75" customHeight="1"/>
    <row r="341" ht="9.75" customHeight="1"/>
    <row r="342" ht="9.75" customHeight="1"/>
    <row r="343" ht="9.75" customHeight="1"/>
    <row r="344" ht="9.75" customHeight="1"/>
    <row r="345" ht="9.75" customHeight="1"/>
    <row r="346" ht="9.75" customHeight="1"/>
    <row r="347" ht="9.75" customHeight="1"/>
    <row r="348" ht="9.75" customHeight="1"/>
    <row r="349" ht="9.75" customHeight="1"/>
    <row r="350" ht="9.75" customHeight="1"/>
    <row r="351" ht="9.75" customHeight="1"/>
    <row r="352" ht="9.75" customHeight="1"/>
    <row r="353" ht="9.75" customHeight="1"/>
    <row r="354" ht="9.75" customHeight="1"/>
    <row r="355" ht="9.75" customHeight="1"/>
    <row r="356" ht="9.75" customHeight="1"/>
    <row r="357" ht="9.75" customHeight="1"/>
    <row r="358" ht="9.75" customHeight="1"/>
    <row r="359" ht="9.75" customHeight="1"/>
    <row r="360" ht="9.75" customHeight="1"/>
    <row r="361" ht="9.75" customHeight="1"/>
    <row r="362" ht="9.75" customHeight="1"/>
    <row r="363" ht="9.75" customHeight="1"/>
    <row r="364" ht="9.75" customHeight="1"/>
    <row r="365" ht="9.75" customHeight="1"/>
    <row r="366" ht="9.75" customHeight="1"/>
    <row r="367" ht="9.75" customHeight="1"/>
    <row r="368" ht="9.75" customHeight="1"/>
    <row r="369" ht="9.75" customHeight="1"/>
    <row r="370" ht="9.75" customHeight="1"/>
    <row r="371" ht="9.75" customHeight="1"/>
    <row r="372" ht="9.75" customHeight="1"/>
    <row r="373" ht="9.75" customHeight="1"/>
    <row r="374" ht="9.75" customHeight="1"/>
    <row r="375" ht="9.75" customHeight="1"/>
    <row r="376" ht="9.75" customHeight="1"/>
    <row r="377" ht="9.75" customHeight="1"/>
    <row r="378" ht="9.75" customHeight="1"/>
    <row r="379" ht="9.75" customHeight="1"/>
    <row r="380" ht="9.75" customHeight="1"/>
    <row r="381" ht="9.75" customHeight="1"/>
    <row r="382" ht="9.75" customHeight="1"/>
    <row r="383" ht="9.75" customHeight="1"/>
    <row r="384" ht="9.75" customHeight="1"/>
    <row r="385" ht="9.75" customHeight="1"/>
    <row r="386" ht="9.75" customHeight="1"/>
    <row r="387" ht="9.75" customHeight="1"/>
    <row r="388" ht="9.75" customHeight="1"/>
    <row r="389" ht="9.75" customHeight="1"/>
    <row r="390" ht="9.75" customHeight="1"/>
    <row r="391" ht="9.75" customHeight="1"/>
    <row r="392" ht="9.75" customHeight="1"/>
    <row r="393" ht="9.75" customHeight="1"/>
    <row r="394" ht="9.75" customHeight="1"/>
    <row r="395" ht="9.75" customHeight="1"/>
    <row r="396" ht="9.75" customHeight="1"/>
    <row r="397" ht="9.75" customHeight="1"/>
    <row r="398" ht="9.75" customHeight="1"/>
    <row r="399" ht="9.75" customHeight="1"/>
    <row r="400" ht="9.75" customHeight="1"/>
    <row r="401" ht="9.75" customHeight="1"/>
    <row r="402" ht="9.75" customHeight="1"/>
    <row r="403" ht="9.75" customHeight="1"/>
    <row r="404" ht="9.75" customHeight="1"/>
    <row r="405" ht="9.75" customHeight="1"/>
    <row r="406" ht="9.75" customHeight="1"/>
    <row r="407" ht="9.75" customHeight="1"/>
    <row r="408" ht="9.75" customHeight="1"/>
    <row r="409" ht="9.75" customHeight="1"/>
    <row r="410" ht="9.75" customHeight="1"/>
    <row r="411" ht="9.75" customHeight="1"/>
    <row r="412" ht="9.75" customHeight="1"/>
    <row r="413" ht="9.75" customHeight="1"/>
    <row r="414" ht="9.75" customHeight="1"/>
    <row r="415" ht="9.75" customHeight="1"/>
    <row r="416" ht="9.75" customHeight="1"/>
    <row r="417" ht="9.75" customHeight="1"/>
    <row r="418" ht="9.75" customHeight="1"/>
    <row r="419" ht="9.75" customHeight="1"/>
    <row r="420" ht="9.75" customHeight="1"/>
    <row r="421" ht="9.75" customHeight="1"/>
    <row r="422" ht="9.75" customHeight="1"/>
    <row r="423" ht="9.75" customHeight="1"/>
    <row r="424" ht="9.75" customHeight="1"/>
    <row r="425" ht="9.75" customHeight="1"/>
    <row r="426" ht="9.75" customHeight="1"/>
    <row r="427" ht="9.75" customHeight="1"/>
    <row r="428" ht="9.75" customHeight="1"/>
    <row r="429" ht="9.75" customHeight="1"/>
    <row r="430" ht="9.75" customHeight="1"/>
    <row r="431" ht="9.75" customHeight="1"/>
    <row r="432" ht="9.75" customHeight="1"/>
    <row r="433" ht="9.75" customHeight="1"/>
    <row r="434" ht="9.75" customHeight="1"/>
    <row r="435" ht="9.75" customHeight="1"/>
    <row r="436" ht="9.75" customHeight="1"/>
    <row r="437" ht="9.75" customHeight="1"/>
    <row r="438" ht="9.75" customHeight="1"/>
    <row r="439" ht="9.75" customHeight="1"/>
    <row r="440" ht="9.75" customHeight="1"/>
    <row r="441" ht="9.75" customHeight="1"/>
    <row r="442" ht="9.75" customHeight="1"/>
    <row r="443" ht="9.75" customHeight="1"/>
    <row r="444" ht="9.75" customHeight="1"/>
    <row r="445" ht="9.75" customHeight="1"/>
    <row r="446" ht="9.75" customHeight="1"/>
    <row r="447" ht="9.75" customHeight="1"/>
    <row r="448" ht="9.75" customHeight="1"/>
    <row r="449" ht="9.75" customHeight="1"/>
    <row r="450" ht="9.75" customHeight="1"/>
    <row r="451" ht="9.75" customHeight="1"/>
    <row r="452" ht="9.75" customHeight="1"/>
    <row r="453" ht="9.75" customHeight="1"/>
    <row r="454" ht="9.75" customHeight="1"/>
    <row r="455" ht="9.75" customHeight="1"/>
    <row r="456" ht="9.75" customHeight="1"/>
    <row r="457" ht="9.75" customHeight="1"/>
    <row r="458" ht="9.75" customHeight="1"/>
    <row r="459" ht="9.75" customHeight="1"/>
    <row r="460" ht="9.75" customHeight="1"/>
    <row r="461" ht="9.75" customHeight="1"/>
    <row r="462" ht="9.75" customHeight="1"/>
    <row r="463" ht="9.75" customHeight="1"/>
    <row r="464" ht="9.75" customHeight="1"/>
    <row r="465" ht="9.75" customHeight="1"/>
    <row r="466" ht="9.75" customHeight="1"/>
    <row r="467" ht="9.75" customHeight="1"/>
    <row r="468" ht="9.75" customHeight="1"/>
    <row r="469" ht="9.75" customHeight="1"/>
    <row r="470" ht="9.75" customHeight="1"/>
    <row r="471" ht="9.75" customHeight="1"/>
    <row r="472" ht="9.75" customHeight="1"/>
    <row r="473" ht="9.75" customHeight="1"/>
    <row r="474" ht="9.75" customHeight="1"/>
    <row r="475" ht="9.75" customHeight="1"/>
    <row r="476" ht="9.75" customHeight="1"/>
    <row r="477" ht="9.75" customHeight="1"/>
    <row r="478" ht="9.75" customHeight="1"/>
    <row r="479" ht="9.75" customHeight="1"/>
    <row r="480" ht="9.75" customHeight="1"/>
    <row r="481" ht="9.75" customHeight="1"/>
    <row r="482" ht="9.75" customHeight="1"/>
    <row r="483" ht="9.75" customHeight="1"/>
    <row r="484" ht="9.75" customHeight="1"/>
    <row r="485" ht="9.75" customHeight="1"/>
    <row r="486" ht="9.75" customHeight="1"/>
    <row r="487" ht="9.75" customHeight="1"/>
    <row r="488" ht="9.75" customHeight="1"/>
    <row r="489" ht="9.75" customHeight="1"/>
    <row r="490" ht="9.75" customHeight="1"/>
    <row r="491" ht="9.75" customHeight="1"/>
    <row r="492" ht="9.75" customHeight="1"/>
    <row r="493" ht="9.75" customHeight="1"/>
    <row r="494" ht="9.75" customHeight="1"/>
    <row r="495" ht="9.75" customHeight="1"/>
    <row r="496" ht="9.75" customHeight="1"/>
    <row r="497" ht="9.75" customHeight="1"/>
    <row r="498" ht="9.75" customHeight="1"/>
    <row r="499" ht="9.75" customHeight="1"/>
    <row r="500" ht="9.75" customHeight="1"/>
    <row r="501" ht="9.75" customHeight="1"/>
    <row r="502" ht="9.75" customHeight="1"/>
    <row r="503" ht="9.75" customHeight="1"/>
    <row r="504" ht="9.75" customHeight="1"/>
    <row r="505" ht="9.75" customHeight="1"/>
    <row r="506" ht="9.75" customHeight="1"/>
    <row r="507" ht="9.75" customHeight="1"/>
    <row r="508" ht="9.75" customHeight="1"/>
    <row r="509" ht="9.75" customHeight="1"/>
    <row r="510" ht="9.75" customHeight="1"/>
    <row r="511" ht="9.75" customHeight="1"/>
    <row r="512" ht="9.75" customHeight="1"/>
    <row r="513" ht="9.75" customHeight="1"/>
    <row r="514" ht="9.75" customHeight="1"/>
    <row r="515" ht="9.75" customHeight="1"/>
    <row r="516" ht="9.75" customHeight="1"/>
    <row r="517" ht="9.75" customHeight="1"/>
    <row r="518" ht="9.75" customHeight="1"/>
    <row r="519" ht="9.75" customHeight="1"/>
    <row r="520" ht="9.75" customHeight="1"/>
    <row r="521" ht="9.75" customHeight="1"/>
    <row r="522" ht="9.75" customHeight="1"/>
    <row r="523" ht="9.75" customHeight="1"/>
    <row r="524" ht="9.75" customHeight="1"/>
    <row r="525" ht="9.75" customHeight="1"/>
    <row r="526" ht="9.75" customHeight="1"/>
    <row r="527" ht="9.75" customHeight="1"/>
    <row r="528" ht="9.75" customHeight="1"/>
    <row r="529" ht="9.75" customHeight="1"/>
    <row r="530" ht="9.75" customHeight="1"/>
    <row r="531" ht="9.75" customHeight="1"/>
    <row r="532" ht="9.75" customHeight="1"/>
    <row r="533" ht="9.75" customHeight="1"/>
    <row r="534" ht="9.75" customHeight="1"/>
    <row r="535" ht="9.75" customHeight="1"/>
    <row r="536" ht="9.75" customHeight="1"/>
    <row r="537" ht="9.75" customHeight="1"/>
    <row r="538" ht="9.75" customHeight="1"/>
    <row r="539" ht="9.75" customHeight="1"/>
    <row r="540" ht="9.75" customHeight="1"/>
    <row r="541" ht="9.75" customHeight="1"/>
    <row r="542" ht="9.75" customHeight="1"/>
    <row r="543" ht="9.75" customHeight="1"/>
    <row r="544" ht="9.75" customHeight="1"/>
    <row r="545" ht="9.75" customHeight="1"/>
    <row r="546" ht="9.75" customHeight="1"/>
    <row r="547" ht="9.75" customHeight="1"/>
    <row r="548" ht="9.75" customHeight="1"/>
    <row r="549" ht="9.75" customHeight="1"/>
    <row r="550" ht="9.75" customHeight="1"/>
    <row r="551" ht="9.75" customHeight="1"/>
    <row r="552" ht="9.75" customHeight="1"/>
    <row r="553" ht="9.75" customHeight="1"/>
    <row r="554" ht="9.75" customHeight="1"/>
    <row r="555" ht="9.75" customHeight="1"/>
    <row r="556" ht="9.75" customHeight="1"/>
    <row r="557" ht="9.75" customHeight="1"/>
    <row r="558" ht="9.75" customHeight="1"/>
    <row r="559" ht="9.75" customHeight="1"/>
    <row r="560" ht="9.75" customHeight="1"/>
    <row r="561" ht="9.75" customHeight="1"/>
    <row r="562" ht="9.75" customHeight="1"/>
    <row r="563" ht="9.75" customHeight="1"/>
    <row r="564" ht="9.75" customHeight="1"/>
    <row r="565" ht="9.75" customHeight="1"/>
    <row r="566" ht="9.75" customHeight="1"/>
    <row r="567" ht="9.75" customHeight="1"/>
    <row r="568" ht="9.75" customHeight="1"/>
    <row r="569" ht="9.75" customHeight="1"/>
    <row r="570" ht="9.75" customHeight="1"/>
    <row r="571" ht="9.75" customHeight="1"/>
    <row r="572" ht="9.75" customHeight="1"/>
    <row r="573" ht="9.75" customHeight="1"/>
    <row r="574" ht="9.75" customHeight="1"/>
    <row r="575" ht="9.75" customHeight="1"/>
    <row r="576" ht="9.75" customHeight="1"/>
    <row r="577" ht="9.75" customHeight="1"/>
    <row r="578" ht="9.75" customHeight="1"/>
    <row r="579" ht="9.75" customHeight="1"/>
    <row r="580" ht="9.75" customHeight="1"/>
    <row r="581" ht="9.75" customHeight="1"/>
    <row r="582" ht="9.75" customHeight="1"/>
    <row r="583" ht="9.75" customHeight="1"/>
    <row r="584" ht="9.75" customHeight="1"/>
    <row r="585" ht="9.75" customHeight="1"/>
    <row r="586" ht="9.75" customHeight="1"/>
    <row r="587" ht="9.75" customHeight="1"/>
    <row r="588" ht="9.75" customHeight="1"/>
    <row r="589" ht="9.75" customHeight="1"/>
    <row r="590" ht="9.75" customHeight="1"/>
    <row r="591" ht="9.75" customHeight="1"/>
    <row r="592" ht="9.75" customHeight="1"/>
    <row r="593" ht="9.75" customHeight="1"/>
    <row r="594" ht="9.75" customHeight="1"/>
    <row r="595" ht="9.75" customHeight="1"/>
    <row r="596" ht="9.75" customHeight="1"/>
    <row r="597" ht="9.75" customHeight="1"/>
    <row r="598" ht="9.75" customHeight="1"/>
    <row r="599" ht="9.75" customHeight="1"/>
    <row r="600" ht="9.75" customHeight="1"/>
    <row r="601" ht="9.75" customHeight="1"/>
    <row r="602" ht="9.75" customHeight="1"/>
    <row r="603" ht="9.75" customHeight="1"/>
    <row r="604" ht="9.75" customHeight="1"/>
    <row r="605" ht="9.75" customHeight="1"/>
    <row r="606" ht="9.75" customHeight="1"/>
    <row r="607" ht="9.75" customHeight="1"/>
    <row r="608" ht="9.75" customHeight="1"/>
    <row r="609" ht="9.75" customHeight="1"/>
    <row r="610" ht="9.75" customHeight="1"/>
    <row r="611" ht="9.75" customHeight="1"/>
    <row r="612" ht="9.75" customHeight="1"/>
    <row r="613" ht="9.75" customHeight="1"/>
    <row r="614" ht="9.75" customHeight="1"/>
    <row r="615" ht="9.75" customHeight="1"/>
    <row r="616" ht="9.75" customHeight="1"/>
    <row r="617" ht="9.75" customHeight="1"/>
    <row r="618" ht="9.75" customHeight="1"/>
    <row r="619" ht="9.75" customHeight="1"/>
    <row r="620" ht="9.75" customHeight="1"/>
    <row r="621" ht="9.75" customHeight="1"/>
    <row r="622" ht="9.75" customHeight="1"/>
    <row r="623" ht="9.75" customHeight="1"/>
    <row r="624" ht="9.75" customHeight="1"/>
    <row r="625" ht="9.75" customHeight="1"/>
    <row r="626" ht="9.75" customHeight="1"/>
    <row r="627" ht="9.75" customHeight="1"/>
    <row r="628" ht="9.75" customHeight="1"/>
    <row r="629" ht="9.75" customHeight="1"/>
    <row r="630" ht="9.75" customHeight="1"/>
    <row r="631" ht="9.75" customHeight="1"/>
    <row r="632" ht="9.75" customHeight="1"/>
    <row r="633" ht="9.75" customHeight="1"/>
    <row r="634" ht="9.75" customHeight="1"/>
    <row r="635" ht="9.75" customHeight="1"/>
    <row r="636" ht="9.75" customHeight="1"/>
    <row r="637" ht="9.75" customHeight="1"/>
    <row r="638" ht="9.75" customHeight="1"/>
    <row r="639" ht="9.75" customHeight="1"/>
    <row r="640" ht="9.75" customHeight="1"/>
    <row r="641" ht="9.75" customHeight="1"/>
    <row r="642" ht="9.75" customHeight="1"/>
    <row r="643" ht="9.75" customHeight="1"/>
    <row r="644" ht="9.75" customHeight="1"/>
    <row r="645" ht="9.75" customHeight="1"/>
    <row r="646" ht="9.75" customHeight="1"/>
    <row r="647" ht="9.75" customHeight="1"/>
    <row r="648" ht="9.75" customHeight="1"/>
  </sheetData>
  <sheetProtection password="9690" sheet="1"/>
  <autoFilter ref="B3:D447"/>
  <mergeCells count="6">
    <mergeCell ref="J1:T1"/>
    <mergeCell ref="J14:J15"/>
    <mergeCell ref="K8:M8"/>
    <mergeCell ref="K14:M14"/>
    <mergeCell ref="N14:N15"/>
    <mergeCell ref="O14:Q14"/>
  </mergeCells>
  <printOptions/>
  <pageMargins left="0.1968503937007874" right="0.1968503937007874" top="0.1968503937007874" bottom="0.15748031496062992" header="0.15748031496062992" footer="0.1574803149606299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d.simeonov</dc:creator>
  <cp:keywords/>
  <dc:description/>
  <cp:lastModifiedBy>Emiliya</cp:lastModifiedBy>
  <cp:lastPrinted>2019-02-19T11:46:55Z</cp:lastPrinted>
  <dcterms:created xsi:type="dcterms:W3CDTF">2010-02-02T11:49:28Z</dcterms:created>
  <dcterms:modified xsi:type="dcterms:W3CDTF">2019-03-06T12:39:40Z</dcterms:modified>
  <cp:category/>
  <cp:version/>
  <cp:contentType/>
  <cp:contentStatus/>
</cp:coreProperties>
</file>