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474" activeTab="0"/>
  </bookViews>
  <sheets>
    <sheet name="БНТ1_fixed" sheetId="1" r:id="rId1"/>
    <sheet name="БНТ 2_fixed" sheetId="2" r:id="rId2"/>
    <sheet name="БНТ 3_Ffixed" sheetId="3" r:id="rId3"/>
    <sheet name="БНТ 4_fixed" sheetId="4" r:id="rId4"/>
    <sheet name="data" sheetId="5" state="hidden" r:id="rId5"/>
  </sheets>
  <definedNames>
    <definedName name="_xlnm._FilterDatabase" localSheetId="4" hidden="1">'data'!$B$3:$D$447</definedName>
    <definedName name="_xlnm._FilterDatabase" localSheetId="1" hidden="1">'БНТ 2_fixed'!$A$16:$BJ$16</definedName>
    <definedName name="_xlnm._FilterDatabase" localSheetId="2" hidden="1">'БНТ 3_Ffixed'!$X$15:$BB$15</definedName>
    <definedName name="_xlnm._FilterDatabase" localSheetId="3" hidden="1">'БНТ 4_fixed'!$X$16:$BB$16</definedName>
    <definedName name="_xlnm._FilterDatabase" localSheetId="0" hidden="1">'БНТ1_fixed'!$A$16:$BL$16</definedName>
    <definedName name="_xlfn.COUNTIFS" hidden="1">#NAME?</definedName>
    <definedName name="_xlfn.IFERROR" hidden="1">#NAME?</definedName>
    <definedName name="_xlfn.SUMIFS" hidden="1">#NAME?</definedName>
    <definedName name="Add">'data'!#REF!</definedName>
    <definedName name="Agency">'data'!$A$53:$A$54</definedName>
    <definedName name="agent">'data'!$K$24:$L$24</definedName>
    <definedName name="avansovo">'data'!$K$33:$M$33</definedName>
    <definedName name="bezTRP">'data'!$K$31:$L$31</definedName>
    <definedName name="bruten_ryst">'data'!$K$28:$M$28</definedName>
    <definedName name="Code">#REF!</definedName>
    <definedName name="Codes2" localSheetId="1">'БНТ 2_fixed'!$E$9:$E$14</definedName>
    <definedName name="Codes2" localSheetId="2">'БНТ 3_Ffixed'!$E$7:$E$12</definedName>
    <definedName name="Codes2" localSheetId="3">'БНТ 4_fixed'!$E$8:$E$13</definedName>
    <definedName name="Codes2" localSheetId="0">'БНТ1_fixed'!$E$8:$E$13</definedName>
    <definedName name="Codes2">#REF!</definedName>
    <definedName name="codes3" localSheetId="0">'БНТ1_fixed'!$E$8:$E$14</definedName>
    <definedName name="codes3">#REF!</definedName>
    <definedName name="day" localSheetId="1">'data'!#REF!</definedName>
    <definedName name="day" localSheetId="2">'data'!#REF!</definedName>
    <definedName name="day" localSheetId="3">'data'!#REF!</definedName>
    <definedName name="day" localSheetId="0">'data'!#REF!</definedName>
    <definedName name="day">'data'!#REF!</definedName>
    <definedName name="days" localSheetId="1">'data'!#REF!</definedName>
    <definedName name="days" localSheetId="2">'data'!#REF!</definedName>
    <definedName name="days" localSheetId="3">'data'!#REF!</definedName>
    <definedName name="days" localSheetId="0">'data'!#REF!</definedName>
    <definedName name="days">'data'!#REF!</definedName>
    <definedName name="duration">'data'!$B$17:$B$71</definedName>
    <definedName name="duration1">'data'!$B$17:$B$102</definedName>
    <definedName name="duration2">'data'!$B$17:$C$102</definedName>
    <definedName name="duration3">'data'!$B$17:$B$102</definedName>
    <definedName name="f">#REF!</definedName>
    <definedName name="Free" localSheetId="1">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</definedName>
    <definedName name="Free" localSheetId="2">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</definedName>
    <definedName name="Free" localSheetId="3">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</definedName>
    <definedName name="Free" localSheetId="0">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</definedName>
    <definedName name="Free">#REF!,#REF!,#REF!,#REF!,#REF!,#REF!,#REF!,#REF!,#REF!,#REF!,#REF!,#REF!,#REF!,#REF!,#REF!,#REF!,#REF!,#REF!,#REF!,#REF!,#REF!,#REF!,#REF!,#REF!,#REF!,#REF!,#REF!,#REF!,#REF!,#REF!,#REF!</definedName>
    <definedName name="Growth">'data'!$A$68:$A$71</definedName>
    <definedName name="HD" localSheetId="1">'data'!#REF!</definedName>
    <definedName name="HD" localSheetId="2">'data'!#REF!</definedName>
    <definedName name="HD" localSheetId="0">'data'!#REF!</definedName>
    <definedName name="HD">'data'!#REF!</definedName>
    <definedName name="komb">'data'!#REF!</definedName>
    <definedName name="komb1">'data'!#REF!</definedName>
    <definedName name="kombin">'data'!$K$29:$L$29</definedName>
    <definedName name="krosmediina">'data'!$K$30:$L$30</definedName>
    <definedName name="Loyalty">'data'!$A$74:$A$79</definedName>
    <definedName name="Loyalty2">'data'!$A$74:$A$79</definedName>
    <definedName name="Mode" localSheetId="1">'data'!#REF!</definedName>
    <definedName name="Mode" localSheetId="2">'data'!#REF!</definedName>
    <definedName name="Mode" localSheetId="3">'data'!#REF!</definedName>
    <definedName name="Mode" localSheetId="0">'data'!#REF!</definedName>
    <definedName name="Mode">'data'!#REF!</definedName>
    <definedName name="net">'data'!$L$28:$M$28</definedName>
    <definedName name="neten">'data'!$K$28:$M$28</definedName>
    <definedName name="nevidim">'data'!$J$3:$J$7</definedName>
    <definedName name="newdays">'data'!$J$54:$J$54</definedName>
    <definedName name="newdays1" localSheetId="1">'data'!#REF!</definedName>
    <definedName name="newdays1" localSheetId="2">'data'!#REF!</definedName>
    <definedName name="newdays1" localSheetId="0">'data'!#REF!</definedName>
    <definedName name="newdays1">'data'!#REF!</definedName>
    <definedName name="obem">'data'!$K$27:$W$27</definedName>
    <definedName name="obemna">'data'!$K$27:$W$27</definedName>
    <definedName name="Package" localSheetId="1">'data'!#REF!</definedName>
    <definedName name="Package" localSheetId="2">'data'!#REF!</definedName>
    <definedName name="Package" localSheetId="3">'data'!#REF!</definedName>
    <definedName name="Package" localSheetId="0">'data'!#REF!</definedName>
    <definedName name="Package">'data'!#REF!</definedName>
    <definedName name="packs">'data'!$J$10:$J$12</definedName>
    <definedName name="percent">'data'!$G$4:$G$29</definedName>
    <definedName name="percent1">'data'!$G$4:$G$33</definedName>
    <definedName name="Position">'data'!$A$81:$A$91</definedName>
    <definedName name="Positioning">'data'!$A$81:$A$91</definedName>
    <definedName name="Positions1">'data'!$C$3:$C$4</definedName>
    <definedName name="Positions2">'data'!$C$3:$C$10</definedName>
    <definedName name="Positions4">'data'!$C$3:$C$7</definedName>
    <definedName name="Preference">'data'!$A$83:$A$84</definedName>
    <definedName name="_xlnm.Print_Area" localSheetId="1">'БНТ 2_fixed'!$A$2:$BJ$72</definedName>
    <definedName name="_xlnm.Print_Area" localSheetId="2">'БНТ 3_Ffixed'!$A$2:$BJ$80</definedName>
    <definedName name="_xlnm.Print_Area" localSheetId="3">'БНТ 4_fixed'!$A$2:$BI$87</definedName>
    <definedName name="_xlnm.Print_Area" localSheetId="0">'БНТ1_fixed'!$A$2:$BL$80</definedName>
    <definedName name="PT">'data'!$L$29:$R$29</definedName>
    <definedName name="PT1">'data'!$K$29:$R$29</definedName>
    <definedName name="PTI">'data'!$A$103:$A$107</definedName>
    <definedName name="PTInd">'data'!$A$99:$A$107</definedName>
    <definedName name="PTIndex">'data'!$A$98:$A$107</definedName>
    <definedName name="ran_dog">'data'!#REF!</definedName>
    <definedName name="ranno_dog">'data'!$K$32:$L$32</definedName>
    <definedName name="RBS" localSheetId="1">'data'!#REF!</definedName>
    <definedName name="RBS" localSheetId="2">'data'!#REF!</definedName>
    <definedName name="RBS" localSheetId="3">'data'!#REF!</definedName>
    <definedName name="RBS" localSheetId="0">'data'!#REF!</definedName>
    <definedName name="RBS">'data'!#REF!</definedName>
    <definedName name="RByS" localSheetId="1">'data'!#REF!</definedName>
    <definedName name="RByS" localSheetId="2">'data'!#REF!</definedName>
    <definedName name="RByS" localSheetId="3">'data'!#REF!</definedName>
    <definedName name="RByS" localSheetId="0">'data'!#REF!</definedName>
    <definedName name="RByS">'data'!#REF!</definedName>
    <definedName name="rekalma3">'data'!#REF!</definedName>
    <definedName name="Reklama">'data'!$C$12:$C$13</definedName>
    <definedName name="reklama1">'data'!$C$11:$C$16</definedName>
    <definedName name="reklama10">'data'!$N$43:$N$49</definedName>
    <definedName name="reklama2">'data'!$C$12:$C$16</definedName>
    <definedName name="reklama3">'data'!$C$11:$C$16</definedName>
    <definedName name="reklama4">'data'!$C$103:$C$104</definedName>
    <definedName name="reklama5">'data'!$C$12:$C$16</definedName>
    <definedName name="reklama8">'data'!$C$11:$C$16</definedName>
    <definedName name="reklama9">'data'!$P$43:$P$49</definedName>
    <definedName name="skonto">'data'!$K$33:$L$33</definedName>
    <definedName name="spons">'data'!#REF!</definedName>
    <definedName name="spons2">'data'!$K$28:$L$28</definedName>
    <definedName name="sponsorski">'data'!$K$29:$R$29</definedName>
    <definedName name="target">'data'!#REF!</definedName>
    <definedName name="Targets">'data'!$C$2:$C$8</definedName>
    <definedName name="TG2" localSheetId="1">'data'!#REF!</definedName>
    <definedName name="TG2" localSheetId="2">'data'!#REF!</definedName>
    <definedName name="TG2" localSheetId="3">'data'!#REF!</definedName>
    <definedName name="TG2" localSheetId="0">'data'!#REF!</definedName>
    <definedName name="TG2">'data'!#REF!</definedName>
    <definedName name="TG3" localSheetId="1">'data'!#REF!</definedName>
    <definedName name="TG3" localSheetId="2">'data'!#REF!</definedName>
    <definedName name="TG3" localSheetId="3">'data'!#REF!</definedName>
    <definedName name="TG3" localSheetId="0">'data'!#REF!</definedName>
    <definedName name="TG3">'data'!#REF!</definedName>
    <definedName name="time" localSheetId="1">'data'!#REF!</definedName>
    <definedName name="time" localSheetId="2">'data'!#REF!</definedName>
    <definedName name="time" localSheetId="3">'data'!#REF!</definedName>
    <definedName name="time" localSheetId="0">'data'!#REF!</definedName>
    <definedName name="time">'data'!#REF!</definedName>
    <definedName name="time1">'data'!$Q$13:$Q$21</definedName>
    <definedName name="time100">'data'!$J$16:$J$21</definedName>
    <definedName name="time101">'data'!$N$16:$N$21</definedName>
    <definedName name="time2" localSheetId="1">'data'!#REF!</definedName>
    <definedName name="time2" localSheetId="2">'data'!#REF!</definedName>
    <definedName name="time2" localSheetId="0">'data'!#REF!</definedName>
    <definedName name="time2">'data'!#REF!</definedName>
    <definedName name="time3" localSheetId="1">'data'!#REF!</definedName>
    <definedName name="time3" localSheetId="2">'data'!#REF!</definedName>
    <definedName name="time3" localSheetId="0">'data'!#REF!</definedName>
    <definedName name="time3">'data'!#REF!</definedName>
    <definedName name="time4" localSheetId="1">'data'!#REF!</definedName>
    <definedName name="time4" localSheetId="2">'data'!#REF!</definedName>
    <definedName name="time4" localSheetId="0">'data'!#REF!</definedName>
    <definedName name="time4">'data'!#REF!</definedName>
    <definedName name="time5">'data'!$S$18:$S$25</definedName>
    <definedName name="time6" localSheetId="1">'data'!#REF!</definedName>
    <definedName name="time6" localSheetId="2">'data'!#REF!</definedName>
    <definedName name="time6" localSheetId="0">'data'!#REF!</definedName>
    <definedName name="time6">'data'!#REF!</definedName>
    <definedName name="time7">'data'!$R$4:$R$12</definedName>
    <definedName name="time99">'data'!$R$4:$R$9</definedName>
    <definedName name="times" localSheetId="1">'data'!#REF!</definedName>
    <definedName name="times" localSheetId="2">'data'!#REF!</definedName>
    <definedName name="times" localSheetId="3">'data'!#REF!</definedName>
    <definedName name="times" localSheetId="0">'data'!#REF!</definedName>
    <definedName name="times">'data'!#REF!</definedName>
    <definedName name="TPS">'data'!$A$95:$A$95</definedName>
    <definedName name="TVC">#REF!</definedName>
    <definedName name="Vol">'data'!$A$56:$A$67</definedName>
    <definedName name="Volume">'data'!$A$56:$A$63</definedName>
    <definedName name="weekday">'data'!$J$55</definedName>
    <definedName name="weekday1">'data'!$J$54</definedName>
  </definedNames>
  <calcPr fullCalcOnLoad="1"/>
</workbook>
</file>

<file path=xl/comments1.xml><?xml version="1.0" encoding="utf-8"?>
<comments xmlns="http://schemas.openxmlformats.org/spreadsheetml/2006/main">
  <authors>
    <author>Emiliya</author>
  </authors>
  <commentList>
    <comment ref="B6" authorId="0">
      <text>
        <r>
          <rPr>
            <sz val="9"/>
            <rFont val="Cambria"/>
            <family val="1"/>
          </rPr>
          <t xml:space="preserve">Моля, изберете език!
Please, choose a language!
</t>
        </r>
      </text>
    </comment>
  </commentList>
</comments>
</file>

<file path=xl/comments2.xml><?xml version="1.0" encoding="utf-8"?>
<comments xmlns="http://schemas.openxmlformats.org/spreadsheetml/2006/main">
  <authors>
    <author>Emiliya</author>
  </authors>
  <commentList>
    <comment ref="B7" authorId="0">
      <text>
        <r>
          <rPr>
            <sz val="9"/>
            <rFont val="Cambria"/>
            <family val="1"/>
          </rPr>
          <t xml:space="preserve">Моля, избрете език!
Please, choose a language!
</t>
        </r>
      </text>
    </comment>
  </commentList>
</comments>
</file>

<file path=xl/comments3.xml><?xml version="1.0" encoding="utf-8"?>
<comments xmlns="http://schemas.openxmlformats.org/spreadsheetml/2006/main">
  <authors>
    <author>Emiliya</author>
  </authors>
  <commentList>
    <comment ref="B5" authorId="0">
      <text>
        <r>
          <rPr>
            <sz val="9"/>
            <rFont val="Cambria"/>
            <family val="1"/>
          </rPr>
          <t xml:space="preserve">Моля, изберете език!
Please, choose a language!
</t>
        </r>
      </text>
    </comment>
  </commentList>
</comments>
</file>

<file path=xl/comments4.xml><?xml version="1.0" encoding="utf-8"?>
<comments xmlns="http://schemas.openxmlformats.org/spreadsheetml/2006/main">
  <authors>
    <author>Emiliya</author>
  </authors>
  <commentList>
    <comment ref="B6" authorId="0">
      <text>
        <r>
          <rPr>
            <sz val="9"/>
            <rFont val="Cambria"/>
            <family val="1"/>
          </rPr>
          <t>Моля, изберете език!
Please, choose a language</t>
        </r>
        <r>
          <rPr>
            <b/>
            <sz val="9"/>
            <rFont val="Tahoma"/>
            <family val="2"/>
          </rPr>
          <t>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<sst xmlns="http://schemas.openxmlformats.org/spreadsheetml/2006/main" count="243" uniqueCount="106">
  <si>
    <t>W1</t>
  </si>
  <si>
    <t>W2</t>
  </si>
  <si>
    <t>W3</t>
  </si>
  <si>
    <t>W4</t>
  </si>
  <si>
    <t>w5</t>
  </si>
  <si>
    <t>W6</t>
  </si>
  <si>
    <t>Клип</t>
  </si>
  <si>
    <t>СЗ</t>
  </si>
  <si>
    <t>Платен репортаж</t>
  </si>
  <si>
    <t>Анонс</t>
  </si>
  <si>
    <t>reklama3</t>
  </si>
  <si>
    <t xml:space="preserve">Клиент: </t>
  </si>
  <si>
    <t xml:space="preserve">Кампания: </t>
  </si>
  <si>
    <t xml:space="preserve">Период: </t>
  </si>
  <si>
    <t>По договор:</t>
  </si>
  <si>
    <t xml:space="preserve">Решение на УС </t>
  </si>
  <si>
    <t>Входящ №:</t>
  </si>
  <si>
    <t>Лице за контакт:</t>
  </si>
  <si>
    <t>Цена A</t>
  </si>
  <si>
    <t>Брой A</t>
  </si>
  <si>
    <t>Цена B</t>
  </si>
  <si>
    <t>Цена C</t>
  </si>
  <si>
    <t>Цена D</t>
  </si>
  <si>
    <t>Цена E</t>
  </si>
  <si>
    <t>Цена F</t>
  </si>
  <si>
    <t>Брой B</t>
  </si>
  <si>
    <t>Брой C</t>
  </si>
  <si>
    <t>Брой D</t>
  </si>
  <si>
    <t>Брой E</t>
  </si>
  <si>
    <t>Брой F</t>
  </si>
  <si>
    <t>Утежнение</t>
  </si>
  <si>
    <t>ЗАЯВИЛ (подпис и печат):</t>
  </si>
  <si>
    <t>Часови пояс</t>
  </si>
  <si>
    <t>06:00-12:00</t>
  </si>
  <si>
    <t>12:00-16:00</t>
  </si>
  <si>
    <t>22:00-01:00</t>
  </si>
  <si>
    <t>01:00-06:00</t>
  </si>
  <si>
    <t>newdays</t>
  </si>
  <si>
    <t>BNT1 fixed</t>
  </si>
  <si>
    <t>ЧАСОВИ ПОЯС</t>
  </si>
  <si>
    <t>ПОНЕДЕЛНИК-НЕДЕЛЯ</t>
  </si>
  <si>
    <t>БНТ2</t>
  </si>
  <si>
    <t>mon-sun</t>
  </si>
  <si>
    <t>reklama4</t>
  </si>
  <si>
    <t>Positions4</t>
  </si>
  <si>
    <t>Закъснение</t>
  </si>
  <si>
    <t>16:00-19:00</t>
  </si>
  <si>
    <t>БНТ HD</t>
  </si>
  <si>
    <t>19:00-22:00</t>
  </si>
  <si>
    <t>22:00-23:00</t>
  </si>
  <si>
    <t>PT%</t>
  </si>
  <si>
    <t>OPT%</t>
  </si>
  <si>
    <t>16:00 - 19:00</t>
  </si>
  <si>
    <t>БНТ 2</t>
  </si>
  <si>
    <t>БНТ Свят</t>
  </si>
  <si>
    <t>Брутен бюджет</t>
  </si>
  <si>
    <t>Цена за 30 сек клип</t>
  </si>
  <si>
    <t>нива</t>
  </si>
  <si>
    <t>01:00 - 06:00</t>
  </si>
  <si>
    <t>Type of advertising</t>
  </si>
  <si>
    <t>Cut-in</t>
  </si>
  <si>
    <t>Cut in</t>
  </si>
  <si>
    <t>Шапка реклама</t>
  </si>
  <si>
    <t>Index to 30" bnt</t>
  </si>
  <si>
    <t>A</t>
  </si>
  <si>
    <t>Цена G</t>
  </si>
  <si>
    <t>Брой G</t>
  </si>
  <si>
    <t>11:00-13:00</t>
  </si>
  <si>
    <t>13:00-16:00</t>
  </si>
  <si>
    <t>23:00-01:00</t>
  </si>
  <si>
    <t>time7</t>
  </si>
  <si>
    <t>Избор на език / Language choice:</t>
  </si>
  <si>
    <t>ENG</t>
  </si>
  <si>
    <t>BG</t>
  </si>
  <si>
    <t>Spot</t>
  </si>
  <si>
    <t>Spons tag</t>
  </si>
  <si>
    <t>Spons promo</t>
  </si>
  <si>
    <t>Paid report</t>
  </si>
  <si>
    <t>Break ID</t>
  </si>
  <si>
    <t>Break ID with VO</t>
  </si>
  <si>
    <t>Break ID 7+7</t>
  </si>
  <si>
    <t>Break ID with VO 7+7</t>
  </si>
  <si>
    <t>Break Choice</t>
  </si>
  <si>
    <t>Break and Positon Choice</t>
  </si>
  <si>
    <t>Two Ads in One Break</t>
  </si>
  <si>
    <t>First in Break Choice</t>
  </si>
  <si>
    <t>Second in break</t>
  </si>
  <si>
    <t>Before Last in Break</t>
  </si>
  <si>
    <t>Last in Break</t>
  </si>
  <si>
    <t>1000-3000</t>
  </si>
  <si>
    <t>3001-5000</t>
  </si>
  <si>
    <t>over 5001</t>
  </si>
  <si>
    <t>Агенция</t>
  </si>
  <si>
    <t>06:00-07:00</t>
  </si>
  <si>
    <t>Two Ads in One Break "Top&amp;Tail"</t>
  </si>
  <si>
    <t>Position 2:</t>
  </si>
  <si>
    <t>hide</t>
  </si>
  <si>
    <t>07:00-11:00</t>
  </si>
  <si>
    <t>фиксирани цени</t>
  </si>
  <si>
    <t>единични цени</t>
  </si>
  <si>
    <t>06:00 - 12:00</t>
  </si>
  <si>
    <t>12:00 - 16:00</t>
  </si>
  <si>
    <t>БНТ 4</t>
  </si>
  <si>
    <t>БНТ 3</t>
  </si>
  <si>
    <t>пон-нед</t>
  </si>
  <si>
    <t>19:00 - 22:00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</si>
</sst>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-* #,##0\ &quot;лв&quot;_-;\-* #,##0\ &quot;лв&quot;_-;_-* &quot;-&quot;\ &quot;лв&quot;_-;_-@_-"/>
    <numFmt numFmtId="166" formatCode="_-* #,##0\ _л_в_-;\-* #,##0\ _л_в_-;_-* &quot;-&quot;\ _л_в_-;_-@_-"/>
    <numFmt numFmtId="167" formatCode="_-* #,##0.00\ &quot;лв&quot;_-;\-* #,##0.00\ &quot;лв&quot;_-;_-* &quot;-&quot;??\ &quot;лв&quot;_-;_-@_-"/>
    <numFmt numFmtId="168" formatCode="_-* #,##0.00\ _л_в_-;\-* #,##0.00\ _л_в_-;_-* &quot;-&quot;??\ _л_в_-;_-@_-"/>
    <numFmt numFmtId="169" formatCode="[$-F400]h:mm:ss\ AM/PM"/>
    <numFmt numFmtId="170" formatCode="0.0"/>
    <numFmt numFmtId="171" formatCode="0.000%"/>
    <numFmt numFmtId="172" formatCode="#,##0.0"/>
    <numFmt numFmtId="173" formatCode="0.0000"/>
    <numFmt numFmtId="174" formatCode="0.0000000"/>
    <numFmt numFmtId="175" formatCode="0.000000000"/>
    <numFmt numFmtId="176" formatCode="##0"/>
    <numFmt numFmtId="177" formatCode="#,##0.00\ &quot;лв.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;\-#,##0.00\ "/>
    <numFmt numFmtId="183" formatCode="hh:mm:ss;@"/>
    <numFmt numFmtId="184" formatCode="_-* #,##0\ _л_в_._-;\-* #,##0\ _л_в_._-;_-* &quot;-&quot;??\ _л_в_._-;_-@_-"/>
    <numFmt numFmtId="185" formatCode="0.0%"/>
    <numFmt numFmtId="186" formatCode="0.000"/>
    <numFmt numFmtId="187" formatCode="_-* #,##0.0\ _л_в_-;\-* #,##0.0\ _л_в_-;_-* &quot;-&quot;??\ _л_в_-;_-@_-"/>
    <numFmt numFmtId="188" formatCode="_-* #,##0\ _л_в_-;\-* #,##0\ _л_в_-;_-* &quot;-&quot;??\ _л_в_-;_-@_-"/>
  </numFmts>
  <fonts count="9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i/>
      <sz val="11"/>
      <color indexed="10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63"/>
      <name val="Cambria"/>
      <family val="1"/>
    </font>
    <font>
      <b/>
      <sz val="11"/>
      <color indexed="63"/>
      <name val="Cambria"/>
      <family val="1"/>
    </font>
    <font>
      <i/>
      <sz val="11"/>
      <color indexed="63"/>
      <name val="Cambria"/>
      <family val="1"/>
    </font>
    <font>
      <b/>
      <sz val="11"/>
      <color indexed="9"/>
      <name val="Cambria"/>
      <family val="1"/>
    </font>
    <font>
      <i/>
      <sz val="9"/>
      <color indexed="63"/>
      <name val="Cambria"/>
      <family val="1"/>
    </font>
    <font>
      <sz val="9"/>
      <color indexed="63"/>
      <name val="Cambria"/>
      <family val="1"/>
    </font>
    <font>
      <b/>
      <sz val="9"/>
      <color indexed="63"/>
      <name val="Cambria"/>
      <family val="1"/>
    </font>
    <font>
      <b/>
      <sz val="8"/>
      <name val="Cambria"/>
      <family val="1"/>
    </font>
    <font>
      <b/>
      <sz val="9"/>
      <color indexed="10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6"/>
      <name val="Cambria"/>
      <family val="1"/>
    </font>
    <font>
      <b/>
      <sz val="16"/>
      <color indexed="63"/>
      <name val="Cambria"/>
      <family val="1"/>
    </font>
    <font>
      <sz val="11"/>
      <color indexed="9"/>
      <name val="Cambria"/>
      <family val="1"/>
    </font>
    <font>
      <b/>
      <sz val="10"/>
      <color indexed="9"/>
      <name val="Cambria"/>
      <family val="1"/>
    </font>
    <font>
      <b/>
      <sz val="10"/>
      <color indexed="63"/>
      <name val="Cambria"/>
      <family val="1"/>
    </font>
    <font>
      <sz val="8"/>
      <color indexed="63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10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24998000264167786"/>
      <name val="Cambria"/>
      <family val="1"/>
    </font>
    <font>
      <b/>
      <sz val="11"/>
      <color theme="1" tint="0.24998000264167786"/>
      <name val="Cambria"/>
      <family val="1"/>
    </font>
    <font>
      <i/>
      <sz val="11"/>
      <color theme="1" tint="0.24998000264167786"/>
      <name val="Cambria"/>
      <family val="1"/>
    </font>
    <font>
      <b/>
      <sz val="11"/>
      <color theme="0"/>
      <name val="Cambria"/>
      <family val="1"/>
    </font>
    <font>
      <i/>
      <sz val="9"/>
      <color theme="1" tint="0.24998000264167786"/>
      <name val="Cambria"/>
      <family val="1"/>
    </font>
    <font>
      <sz val="9"/>
      <color theme="1" tint="0.24998000264167786"/>
      <name val="Cambria"/>
      <family val="1"/>
    </font>
    <font>
      <b/>
      <sz val="9"/>
      <color theme="1" tint="0.24998000264167786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16"/>
      <color theme="1" tint="0.24998000264167786"/>
      <name val="Cambria"/>
      <family val="1"/>
    </font>
    <font>
      <sz val="11"/>
      <color theme="0"/>
      <name val="Cambria"/>
      <family val="1"/>
    </font>
    <font>
      <sz val="9"/>
      <color theme="1" tint="0.15000000596046448"/>
      <name val="Cambria"/>
      <family val="1"/>
    </font>
    <font>
      <b/>
      <sz val="11"/>
      <color theme="1" tint="0.15000000596046448"/>
      <name val="Cambria"/>
      <family val="1"/>
    </font>
    <font>
      <sz val="11"/>
      <color theme="1" tint="0.15000000596046448"/>
      <name val="Cambria"/>
      <family val="1"/>
    </font>
    <font>
      <b/>
      <sz val="10"/>
      <color theme="0"/>
      <name val="Cambria"/>
      <family val="1"/>
    </font>
    <font>
      <b/>
      <sz val="10"/>
      <color theme="1" tint="0.24998000264167786"/>
      <name val="Cambria"/>
      <family val="1"/>
    </font>
    <font>
      <sz val="8"/>
      <color theme="1" tint="0.24998000264167786"/>
      <name val="Cambria"/>
      <family val="1"/>
    </font>
    <font>
      <b/>
      <sz val="11"/>
      <color theme="1" tint="0.34999001026153564"/>
      <name val="Cambria"/>
      <family val="1"/>
    </font>
    <font>
      <b/>
      <sz val="10"/>
      <color theme="1" tint="0.34999001026153564"/>
      <name val="Cambria"/>
      <family val="1"/>
    </font>
    <font>
      <b/>
      <sz val="9"/>
      <color theme="1" tint="0.34999001026153564"/>
      <name val="Cambria"/>
      <family val="1"/>
    </font>
    <font>
      <b/>
      <sz val="9"/>
      <color theme="1" tint="0.15000000596046448"/>
      <name val="Cambria"/>
      <family val="1"/>
    </font>
    <font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64D0A"/>
        <bgColor indexed="64"/>
      </patternFill>
    </fill>
    <fill>
      <patternFill patternType="solid">
        <fgColor rgb="FF8BCA36"/>
        <bgColor indexed="64"/>
      </patternFill>
    </fill>
    <fill>
      <patternFill patternType="solid">
        <fgColor rgb="FF089F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5" fillId="33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10" xfId="83" applyFont="1" applyFill="1" applyBorder="1" applyAlignment="1" applyProtection="1">
      <alignment horizontal="center" vertical="center" wrapText="1"/>
      <protection/>
    </xf>
    <xf numFmtId="20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42" applyNumberFormat="1" applyFont="1" applyFill="1" applyBorder="1" applyAlignment="1" applyProtection="1">
      <alignment horizontal="center"/>
      <protection/>
    </xf>
    <xf numFmtId="2" fontId="25" fillId="33" borderId="10" xfId="0" applyNumberFormat="1" applyFont="1" applyFill="1" applyBorder="1" applyAlignment="1" applyProtection="1">
      <alignment horizontal="center"/>
      <protection/>
    </xf>
    <xf numFmtId="0" fontId="25" fillId="33" borderId="11" xfId="0" applyFont="1" applyFill="1" applyBorder="1" applyAlignment="1" applyProtection="1">
      <alignment/>
      <protection/>
    </xf>
    <xf numFmtId="9" fontId="25" fillId="33" borderId="10" xfId="86" applyFont="1" applyFill="1" applyBorder="1" applyAlignment="1" applyProtection="1">
      <alignment/>
      <protection/>
    </xf>
    <xf numFmtId="0" fontId="25" fillId="33" borderId="12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25" fillId="33" borderId="13" xfId="0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/>
      <protection/>
    </xf>
    <xf numFmtId="169" fontId="25" fillId="33" borderId="12" xfId="0" applyNumberFormat="1" applyFont="1" applyFill="1" applyBorder="1" applyAlignment="1" applyProtection="1">
      <alignment/>
      <protection/>
    </xf>
    <xf numFmtId="170" fontId="27" fillId="0" borderId="12" xfId="0" applyNumberFormat="1" applyFont="1" applyBorder="1" applyAlignment="1" applyProtection="1">
      <alignment horizontal="center"/>
      <protection/>
    </xf>
    <xf numFmtId="0" fontId="25" fillId="33" borderId="13" xfId="0" applyFont="1" applyFill="1" applyBorder="1" applyAlignment="1" applyProtection="1">
      <alignment/>
      <protection locked="0"/>
    </xf>
    <xf numFmtId="0" fontId="25" fillId="33" borderId="0" xfId="0" applyFont="1" applyFill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2" fontId="25" fillId="33" borderId="0" xfId="0" applyNumberFormat="1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77" fontId="28" fillId="33" borderId="0" xfId="0" applyNumberFormat="1" applyFont="1" applyFill="1" applyBorder="1" applyAlignment="1" applyProtection="1">
      <alignment horizontal="center"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72" fillId="33" borderId="0" xfId="0" applyFont="1" applyFill="1" applyAlignment="1" applyProtection="1">
      <alignment/>
      <protection locked="0"/>
    </xf>
    <xf numFmtId="0" fontId="73" fillId="33" borderId="10" xfId="0" applyFont="1" applyFill="1" applyBorder="1" applyAlignment="1" applyProtection="1">
      <alignment/>
      <protection locked="0"/>
    </xf>
    <xf numFmtId="0" fontId="72" fillId="34" borderId="10" xfId="0" applyFont="1" applyFill="1" applyBorder="1" applyAlignment="1" applyProtection="1">
      <alignment/>
      <protection locked="0"/>
    </xf>
    <xf numFmtId="0" fontId="72" fillId="33" borderId="10" xfId="0" applyFont="1" applyFill="1" applyBorder="1" applyAlignment="1" applyProtection="1">
      <alignment/>
      <protection locked="0"/>
    </xf>
    <xf numFmtId="0" fontId="72" fillId="33" borderId="10" xfId="0" applyFont="1" applyFill="1" applyBorder="1" applyAlignment="1" applyProtection="1">
      <alignment horizontal="center"/>
      <protection locked="0"/>
    </xf>
    <xf numFmtId="0" fontId="73" fillId="33" borderId="0" xfId="0" applyFont="1" applyFill="1" applyBorder="1" applyAlignment="1" applyProtection="1">
      <alignment/>
      <protection locked="0"/>
    </xf>
    <xf numFmtId="0" fontId="73" fillId="35" borderId="10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/>
      <protection/>
    </xf>
    <xf numFmtId="0" fontId="72" fillId="0" borderId="10" xfId="0" applyFont="1" applyFill="1" applyBorder="1" applyAlignment="1" applyProtection="1">
      <alignment/>
      <protection/>
    </xf>
    <xf numFmtId="0" fontId="72" fillId="0" borderId="10" xfId="83" applyFont="1" applyFill="1" applyBorder="1" applyAlignment="1" applyProtection="1">
      <alignment horizontal="center" vertical="center" wrapText="1"/>
      <protection/>
    </xf>
    <xf numFmtId="20" fontId="72" fillId="0" borderId="10" xfId="0" applyNumberFormat="1" applyFont="1" applyFill="1" applyBorder="1" applyAlignment="1" applyProtection="1">
      <alignment horizontal="center"/>
      <protection/>
    </xf>
    <xf numFmtId="0" fontId="72" fillId="0" borderId="10" xfId="42" applyNumberFormat="1" applyFont="1" applyFill="1" applyBorder="1" applyAlignment="1" applyProtection="1">
      <alignment horizontal="center"/>
      <protection/>
    </xf>
    <xf numFmtId="2" fontId="72" fillId="33" borderId="10" xfId="0" applyNumberFormat="1" applyFont="1" applyFill="1" applyBorder="1" applyAlignment="1" applyProtection="1">
      <alignment horizontal="center"/>
      <protection/>
    </xf>
    <xf numFmtId="9" fontId="72" fillId="33" borderId="10" xfId="86" applyFont="1" applyFill="1" applyBorder="1" applyAlignment="1" applyProtection="1">
      <alignment/>
      <protection/>
    </xf>
    <xf numFmtId="2" fontId="72" fillId="33" borderId="0" xfId="0" applyNumberFormat="1" applyFont="1" applyFill="1" applyAlignment="1" applyProtection="1">
      <alignment/>
      <protection locked="0"/>
    </xf>
    <xf numFmtId="0" fontId="74" fillId="33" borderId="12" xfId="0" applyFont="1" applyFill="1" applyBorder="1" applyAlignment="1" applyProtection="1">
      <alignment/>
      <protection/>
    </xf>
    <xf numFmtId="0" fontId="72" fillId="33" borderId="12" xfId="0" applyFont="1" applyFill="1" applyBorder="1" applyAlignment="1" applyProtection="1">
      <alignment/>
      <protection/>
    </xf>
    <xf numFmtId="169" fontId="72" fillId="33" borderId="12" xfId="0" applyNumberFormat="1" applyFont="1" applyFill="1" applyBorder="1" applyAlignment="1" applyProtection="1">
      <alignment/>
      <protection/>
    </xf>
    <xf numFmtId="170" fontId="72" fillId="0" borderId="12" xfId="0" applyNumberFormat="1" applyFont="1" applyBorder="1" applyAlignment="1" applyProtection="1">
      <alignment horizontal="center"/>
      <protection/>
    </xf>
    <xf numFmtId="0" fontId="72" fillId="33" borderId="0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right" vertical="center"/>
      <protection locked="0"/>
    </xf>
    <xf numFmtId="177" fontId="73" fillId="33" borderId="0" xfId="0" applyNumberFormat="1" applyFont="1" applyFill="1" applyBorder="1" applyAlignment="1" applyProtection="1">
      <alignment horizontal="center"/>
      <protection locked="0"/>
    </xf>
    <xf numFmtId="0" fontId="73" fillId="33" borderId="0" xfId="0" applyFont="1" applyFill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75" fillId="36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/>
      <protection/>
    </xf>
    <xf numFmtId="0" fontId="25" fillId="0" borderId="12" xfId="83" applyFont="1" applyFill="1" applyBorder="1" applyAlignment="1" applyProtection="1">
      <alignment horizontal="center" vertical="center" wrapText="1"/>
      <protection/>
    </xf>
    <xf numFmtId="20" fontId="25" fillId="0" borderId="12" xfId="0" applyNumberFormat="1" applyFont="1" applyFill="1" applyBorder="1" applyAlignment="1" applyProtection="1">
      <alignment horizontal="center"/>
      <protection/>
    </xf>
    <xf numFmtId="0" fontId="25" fillId="0" borderId="12" xfId="42" applyNumberFormat="1" applyFont="1" applyFill="1" applyBorder="1" applyAlignment="1" applyProtection="1">
      <alignment horizontal="center"/>
      <protection/>
    </xf>
    <xf numFmtId="0" fontId="25" fillId="37" borderId="14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9" fontId="25" fillId="33" borderId="12" xfId="86" applyFont="1" applyFill="1" applyBorder="1" applyAlignment="1" applyProtection="1">
      <alignment/>
      <protection/>
    </xf>
    <xf numFmtId="9" fontId="25" fillId="33" borderId="0" xfId="86" applyFont="1" applyFill="1" applyBorder="1" applyAlignment="1" applyProtection="1">
      <alignment/>
      <protection/>
    </xf>
    <xf numFmtId="2" fontId="25" fillId="33" borderId="0" xfId="0" applyNumberFormat="1" applyFont="1" applyFill="1" applyBorder="1" applyAlignment="1" applyProtection="1">
      <alignment horizontal="center"/>
      <protection/>
    </xf>
    <xf numFmtId="0" fontId="73" fillId="38" borderId="10" xfId="0" applyFont="1" applyFill="1" applyBorder="1" applyAlignment="1" applyProtection="1">
      <alignment horizontal="center" vertical="center"/>
      <protection locked="0"/>
    </xf>
    <xf numFmtId="0" fontId="28" fillId="39" borderId="1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76" fillId="33" borderId="12" xfId="0" applyFont="1" applyFill="1" applyBorder="1" applyAlignment="1" applyProtection="1">
      <alignment/>
      <protection/>
    </xf>
    <xf numFmtId="0" fontId="77" fillId="33" borderId="12" xfId="0" applyFont="1" applyFill="1" applyBorder="1" applyAlignment="1" applyProtection="1">
      <alignment/>
      <protection/>
    </xf>
    <xf numFmtId="169" fontId="77" fillId="33" borderId="12" xfId="0" applyNumberFormat="1" applyFont="1" applyFill="1" applyBorder="1" applyAlignment="1" applyProtection="1">
      <alignment/>
      <protection/>
    </xf>
    <xf numFmtId="170" fontId="77" fillId="0" borderId="12" xfId="0" applyNumberFormat="1" applyFont="1" applyBorder="1" applyAlignment="1" applyProtection="1">
      <alignment horizontal="center"/>
      <protection/>
    </xf>
    <xf numFmtId="0" fontId="78" fillId="38" borderId="10" xfId="0" applyFont="1" applyFill="1" applyBorder="1" applyAlignment="1" applyProtection="1">
      <alignment horizontal="center" vertical="center"/>
      <protection locked="0"/>
    </xf>
    <xf numFmtId="0" fontId="77" fillId="38" borderId="10" xfId="0" applyFont="1" applyFill="1" applyBorder="1" applyAlignment="1" applyProtection="1">
      <alignment/>
      <protection locked="0"/>
    </xf>
    <xf numFmtId="0" fontId="77" fillId="38" borderId="10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/>
      <protection/>
    </xf>
    <xf numFmtId="0" fontId="77" fillId="33" borderId="0" xfId="0" applyFont="1" applyFill="1" applyAlignment="1" applyProtection="1">
      <alignment/>
      <protection locked="0"/>
    </xf>
    <xf numFmtId="2" fontId="77" fillId="33" borderId="0" xfId="0" applyNumberFormat="1" applyFont="1" applyFill="1" applyAlignment="1" applyProtection="1">
      <alignment/>
      <protection locked="0"/>
    </xf>
    <xf numFmtId="0" fontId="77" fillId="33" borderId="0" xfId="0" applyFont="1" applyFill="1" applyAlignment="1" applyProtection="1">
      <alignment/>
      <protection/>
    </xf>
    <xf numFmtId="0" fontId="77" fillId="38" borderId="0" xfId="0" applyFont="1" applyFill="1" applyAlignment="1" applyProtection="1">
      <alignment/>
      <protection locked="0"/>
    </xf>
    <xf numFmtId="0" fontId="77" fillId="38" borderId="0" xfId="0" applyFont="1" applyFill="1" applyBorder="1" applyAlignment="1" applyProtection="1">
      <alignment/>
      <protection locked="0"/>
    </xf>
    <xf numFmtId="0" fontId="77" fillId="39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Alignment="1" applyProtection="1">
      <alignment horizontal="center"/>
      <protection locked="0"/>
    </xf>
    <xf numFmtId="0" fontId="28" fillId="40" borderId="15" xfId="0" applyNumberFormat="1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horizontal="right"/>
      <protection locked="0"/>
    </xf>
    <xf numFmtId="2" fontId="25" fillId="33" borderId="0" xfId="0" applyNumberFormat="1" applyFont="1" applyFill="1" applyAlignment="1" applyProtection="1">
      <alignment horizontal="center"/>
      <protection locked="0"/>
    </xf>
    <xf numFmtId="1" fontId="25" fillId="33" borderId="10" xfId="0" applyNumberFormat="1" applyFont="1" applyFill="1" applyBorder="1" applyAlignment="1" applyProtection="1">
      <alignment horizontal="center"/>
      <protection/>
    </xf>
    <xf numFmtId="1" fontId="72" fillId="33" borderId="10" xfId="0" applyNumberFormat="1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/>
      <protection locked="0"/>
    </xf>
    <xf numFmtId="0" fontId="37" fillId="38" borderId="16" xfId="0" applyFont="1" applyFill="1" applyBorder="1" applyAlignment="1" applyProtection="1">
      <alignment horizontal="center" vertical="center"/>
      <protection locked="0"/>
    </xf>
    <xf numFmtId="2" fontId="25" fillId="33" borderId="14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41" borderId="17" xfId="70" applyFont="1" applyFill="1" applyBorder="1" applyAlignment="1">
      <alignment horizontal="center"/>
      <protection/>
    </xf>
    <xf numFmtId="9" fontId="8" fillId="33" borderId="0" xfId="0" applyNumberFormat="1" applyFont="1" applyFill="1" applyAlignment="1">
      <alignment/>
    </xf>
    <xf numFmtId="176" fontId="8" fillId="0" borderId="17" xfId="70" applyNumberFormat="1" applyFont="1" applyFill="1" applyBorder="1">
      <alignment/>
      <protection/>
    </xf>
    <xf numFmtId="173" fontId="8" fillId="33" borderId="0" xfId="0" applyNumberFormat="1" applyFont="1" applyFill="1" applyAlignment="1">
      <alignment/>
    </xf>
    <xf numFmtId="0" fontId="79" fillId="42" borderId="17" xfId="0" applyFont="1" applyFill="1" applyBorder="1" applyAlignment="1">
      <alignment wrapText="1"/>
    </xf>
    <xf numFmtId="0" fontId="79" fillId="42" borderId="17" xfId="0" applyFont="1" applyFill="1" applyBorder="1" applyAlignment="1">
      <alignment horizontal="center" wrapText="1"/>
    </xf>
    <xf numFmtId="0" fontId="39" fillId="33" borderId="17" xfId="0" applyFont="1" applyFill="1" applyBorder="1" applyAlignment="1" applyProtection="1">
      <alignment/>
      <protection locked="0"/>
    </xf>
    <xf numFmtId="0" fontId="80" fillId="0" borderId="17" xfId="0" applyFont="1" applyBorder="1" applyAlignment="1">
      <alignment horizontal="center"/>
    </xf>
    <xf numFmtId="0" fontId="8" fillId="43" borderId="0" xfId="0" applyFont="1" applyFill="1" applyAlignment="1">
      <alignment/>
    </xf>
    <xf numFmtId="16" fontId="8" fillId="33" borderId="0" xfId="0" applyNumberFormat="1" applyFont="1" applyFill="1" applyAlignment="1" quotePrefix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42" fillId="0" borderId="18" xfId="0" applyFont="1" applyFill="1" applyBorder="1" applyAlignment="1" applyProtection="1">
      <alignment horizontal="center" vertical="center" wrapText="1"/>
      <protection locked="0"/>
    </xf>
    <xf numFmtId="0" fontId="81" fillId="0" borderId="18" xfId="0" applyFont="1" applyFill="1" applyBorder="1" applyAlignment="1" applyProtection="1">
      <alignment horizontal="center" vertical="center"/>
      <protection locked="0"/>
    </xf>
    <xf numFmtId="0" fontId="81" fillId="0" borderId="18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43" borderId="0" xfId="0" applyFont="1" applyFill="1" applyAlignment="1">
      <alignment horizontal="left"/>
    </xf>
    <xf numFmtId="0" fontId="82" fillId="33" borderId="0" xfId="0" applyFont="1" applyFill="1" applyAlignment="1" applyProtection="1">
      <alignment/>
      <protection locked="0"/>
    </xf>
    <xf numFmtId="0" fontId="39" fillId="38" borderId="0" xfId="0" applyFont="1" applyFill="1" applyAlignment="1" applyProtection="1">
      <alignment horizontal="right"/>
      <protection locked="0"/>
    </xf>
    <xf numFmtId="0" fontId="77" fillId="38" borderId="0" xfId="0" applyFont="1" applyFill="1" applyAlignment="1" applyProtection="1">
      <alignment horizontal="right"/>
      <protection locked="0"/>
    </xf>
    <xf numFmtId="0" fontId="78" fillId="38" borderId="0" xfId="0" applyFont="1" applyFill="1" applyAlignment="1" applyProtection="1">
      <alignment horizontal="right"/>
      <protection locked="0"/>
    </xf>
    <xf numFmtId="0" fontId="8" fillId="38" borderId="12" xfId="0" applyFont="1" applyFill="1" applyBorder="1" applyAlignment="1" applyProtection="1">
      <alignment horizontal="right"/>
      <protection locked="0"/>
    </xf>
    <xf numFmtId="0" fontId="72" fillId="33" borderId="0" xfId="0" applyFont="1" applyFill="1" applyAlignment="1" applyProtection="1">
      <alignment/>
      <protection locked="0"/>
    </xf>
    <xf numFmtId="0" fontId="73" fillId="33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83" fillId="33" borderId="0" xfId="0" applyFont="1" applyFill="1" applyAlignment="1" applyProtection="1">
      <alignment/>
      <protection locked="0"/>
    </xf>
    <xf numFmtId="0" fontId="84" fillId="38" borderId="10" xfId="0" applyFont="1" applyFill="1" applyBorder="1" applyAlignment="1" applyProtection="1">
      <alignment horizontal="center" vertical="center"/>
      <protection locked="0"/>
    </xf>
    <xf numFmtId="0" fontId="42" fillId="0" borderId="19" xfId="0" applyFont="1" applyFill="1" applyBorder="1" applyAlignment="1" applyProtection="1">
      <alignment horizontal="center" vertical="center" wrapText="1"/>
      <protection locked="0"/>
    </xf>
    <xf numFmtId="0" fontId="81" fillId="0" borderId="19" xfId="0" applyFont="1" applyFill="1" applyBorder="1" applyAlignment="1" applyProtection="1">
      <alignment horizontal="center" vertical="center"/>
      <protection locked="0"/>
    </xf>
    <xf numFmtId="0" fontId="81" fillId="0" borderId="19" xfId="0" applyFont="1" applyFill="1" applyBorder="1" applyAlignment="1" applyProtection="1">
      <alignment horizontal="center" vertical="center" wrapText="1"/>
      <protection locked="0"/>
    </xf>
    <xf numFmtId="0" fontId="77" fillId="38" borderId="12" xfId="0" applyFont="1" applyFill="1" applyBorder="1" applyAlignment="1" applyProtection="1">
      <alignment horizontal="right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170" fontId="27" fillId="0" borderId="10" xfId="0" applyNumberFormat="1" applyFont="1" applyBorder="1" applyAlignment="1" applyProtection="1">
      <alignment horizontal="left"/>
      <protection/>
    </xf>
    <xf numFmtId="170" fontId="72" fillId="0" borderId="10" xfId="0" applyNumberFormat="1" applyFont="1" applyBorder="1" applyAlignment="1" applyProtection="1">
      <alignment horizontal="left"/>
      <protection/>
    </xf>
    <xf numFmtId="0" fontId="85" fillId="33" borderId="10" xfId="0" applyFont="1" applyFill="1" applyBorder="1" applyAlignment="1" applyProtection="1">
      <alignment/>
      <protection/>
    </xf>
    <xf numFmtId="0" fontId="85" fillId="0" borderId="10" xfId="0" applyFont="1" applyFill="1" applyBorder="1" applyAlignment="1" applyProtection="1">
      <alignment/>
      <protection/>
    </xf>
    <xf numFmtId="0" fontId="85" fillId="0" borderId="10" xfId="83" applyFont="1" applyFill="1" applyBorder="1" applyAlignment="1" applyProtection="1">
      <alignment horizontal="center" vertical="center" wrapText="1"/>
      <protection/>
    </xf>
    <xf numFmtId="20" fontId="85" fillId="0" borderId="10" xfId="0" applyNumberFormat="1" applyFont="1" applyFill="1" applyBorder="1" applyAlignment="1" applyProtection="1">
      <alignment horizontal="center"/>
      <protection/>
    </xf>
    <xf numFmtId="0" fontId="85" fillId="0" borderId="10" xfId="42" applyNumberFormat="1" applyFont="1" applyFill="1" applyBorder="1" applyAlignment="1" applyProtection="1">
      <alignment horizontal="center"/>
      <protection/>
    </xf>
    <xf numFmtId="2" fontId="85" fillId="33" borderId="10" xfId="0" applyNumberFormat="1" applyFont="1" applyFill="1" applyBorder="1" applyAlignment="1" applyProtection="1">
      <alignment horizontal="center"/>
      <protection/>
    </xf>
    <xf numFmtId="1" fontId="85" fillId="33" borderId="10" xfId="0" applyNumberFormat="1" applyFont="1" applyFill="1" applyBorder="1" applyAlignment="1" applyProtection="1">
      <alignment horizontal="center"/>
      <protection/>
    </xf>
    <xf numFmtId="0" fontId="28" fillId="33" borderId="12" xfId="0" applyFont="1" applyFill="1" applyBorder="1" applyAlignment="1" applyProtection="1">
      <alignment/>
      <protection locked="0"/>
    </xf>
    <xf numFmtId="0" fontId="28" fillId="33" borderId="18" xfId="0" applyFont="1" applyFill="1" applyBorder="1" applyAlignment="1" applyProtection="1">
      <alignment/>
      <protection locked="0"/>
    </xf>
    <xf numFmtId="0" fontId="33" fillId="35" borderId="20" xfId="0" applyFont="1" applyFill="1" applyBorder="1" applyAlignment="1" applyProtection="1">
      <alignment horizontal="center" vertical="center"/>
      <protection locked="0"/>
    </xf>
    <xf numFmtId="1" fontId="38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75" fillId="44" borderId="10" xfId="0" applyFont="1" applyFill="1" applyBorder="1" applyAlignment="1" applyProtection="1">
      <alignment horizontal="center" vertical="center" wrapText="1"/>
      <protection locked="0"/>
    </xf>
    <xf numFmtId="0" fontId="86" fillId="44" borderId="10" xfId="0" applyFont="1" applyFill="1" applyBorder="1" applyAlignment="1" applyProtection="1">
      <alignment horizontal="center" vertical="center" wrapText="1"/>
      <protection locked="0"/>
    </xf>
    <xf numFmtId="2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1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45" borderId="10" xfId="0" applyFont="1" applyFill="1" applyBorder="1" applyAlignment="1" applyProtection="1">
      <alignment horizontal="left" vertical="center" wrapText="1"/>
      <protection locked="0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2" fontId="73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45" borderId="10" xfId="0" applyFont="1" applyFill="1" applyBorder="1" applyAlignment="1" applyProtection="1">
      <alignment horizontal="center" vertical="center" wrapText="1"/>
      <protection locked="0"/>
    </xf>
    <xf numFmtId="0" fontId="73" fillId="46" borderId="10" xfId="0" applyFont="1" applyFill="1" applyBorder="1" applyAlignment="1" applyProtection="1">
      <alignment horizontal="left" vertical="center" wrapText="1"/>
      <protection locked="0"/>
    </xf>
    <xf numFmtId="0" fontId="73" fillId="46" borderId="10" xfId="0" applyFont="1" applyFill="1" applyBorder="1" applyAlignment="1" applyProtection="1">
      <alignment horizontal="center" vertical="center" wrapText="1"/>
      <protection locked="0"/>
    </xf>
    <xf numFmtId="0" fontId="87" fillId="46" borderId="10" xfId="0" applyFont="1" applyFill="1" applyBorder="1" applyAlignment="1" applyProtection="1">
      <alignment horizontal="center" vertical="center" wrapText="1"/>
      <protection locked="0"/>
    </xf>
    <xf numFmtId="0" fontId="73" fillId="38" borderId="10" xfId="0" applyFont="1" applyFill="1" applyBorder="1" applyAlignment="1" applyProtection="1">
      <alignment horizontal="center" vertical="center" wrapText="1"/>
      <protection/>
    </xf>
    <xf numFmtId="0" fontId="72" fillId="38" borderId="13" xfId="0" applyFont="1" applyFill="1" applyBorder="1" applyAlignment="1" applyProtection="1">
      <alignment/>
      <protection locked="0"/>
    </xf>
    <xf numFmtId="0" fontId="88" fillId="38" borderId="10" xfId="0" applyFont="1" applyFill="1" applyBorder="1" applyAlignment="1" applyProtection="1">
      <alignment horizontal="center"/>
      <protection locked="0"/>
    </xf>
    <xf numFmtId="0" fontId="72" fillId="38" borderId="12" xfId="0" applyFont="1" applyFill="1" applyBorder="1" applyAlignment="1" applyProtection="1">
      <alignment/>
      <protection/>
    </xf>
    <xf numFmtId="0" fontId="72" fillId="38" borderId="0" xfId="0" applyFont="1" applyFill="1" applyAlignment="1" applyProtection="1">
      <alignment/>
      <protection locked="0"/>
    </xf>
    <xf numFmtId="2" fontId="73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47" borderId="10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left" vertical="center" wrapText="1"/>
      <protection locked="0"/>
    </xf>
    <xf numFmtId="0" fontId="90" fillId="47" borderId="10" xfId="0" applyFont="1" applyFill="1" applyBorder="1" applyAlignment="1" applyProtection="1">
      <alignment horizontal="center" vertical="center" wrapText="1"/>
      <protection locked="0"/>
    </xf>
    <xf numFmtId="2" fontId="89" fillId="47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44" borderId="10" xfId="0" applyFont="1" applyFill="1" applyBorder="1" applyAlignment="1" applyProtection="1">
      <alignment horizontal="center" vertical="center" wrapText="1"/>
      <protection locked="0"/>
    </xf>
    <xf numFmtId="0" fontId="75" fillId="46" borderId="10" xfId="0" applyFont="1" applyFill="1" applyBorder="1" applyAlignment="1" applyProtection="1">
      <alignment horizontal="center" vertical="center" wrapText="1"/>
      <protection locked="0"/>
    </xf>
    <xf numFmtId="0" fontId="91" fillId="38" borderId="10" xfId="0" applyFont="1" applyFill="1" applyBorder="1" applyAlignment="1" applyProtection="1">
      <alignment horizontal="center" vertical="center" wrapText="1"/>
      <protection locked="0"/>
    </xf>
    <xf numFmtId="4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wrapText="1"/>
      <protection locked="0"/>
    </xf>
    <xf numFmtId="4" fontId="73" fillId="45" borderId="10" xfId="0" applyNumberFormat="1" applyFont="1" applyFill="1" applyBorder="1" applyAlignment="1" applyProtection="1">
      <alignment horizontal="center" vertical="center" wrapText="1"/>
      <protection locked="0"/>
    </xf>
    <xf numFmtId="4" fontId="73" fillId="46" borderId="10" xfId="0" applyNumberFormat="1" applyFont="1" applyFill="1" applyBorder="1" applyAlignment="1" applyProtection="1">
      <alignment horizontal="center" vertical="center" wrapText="1"/>
      <protection locked="0"/>
    </xf>
    <xf numFmtId="4" fontId="89" fillId="47" borderId="10" xfId="0" applyNumberFormat="1" applyFont="1" applyFill="1" applyBorder="1" applyAlignment="1" applyProtection="1">
      <alignment horizontal="center" vertical="center" wrapText="1"/>
      <protection locked="0"/>
    </xf>
    <xf numFmtId="4" fontId="89" fillId="47" borderId="10" xfId="0" applyNumberFormat="1" applyFont="1" applyFill="1" applyBorder="1" applyAlignment="1" applyProtection="1">
      <alignment horizontal="center" wrapText="1"/>
      <protection locked="0"/>
    </xf>
    <xf numFmtId="0" fontId="75" fillId="44" borderId="10" xfId="0" applyFont="1" applyFill="1" applyBorder="1" applyAlignment="1" applyProtection="1">
      <alignment horizontal="center" wrapText="1"/>
      <protection locked="0"/>
    </xf>
    <xf numFmtId="1" fontId="73" fillId="45" borderId="10" xfId="0" applyNumberFormat="1" applyFont="1" applyFill="1" applyBorder="1" applyAlignment="1" applyProtection="1">
      <alignment horizontal="center" wrapText="1"/>
      <protection locked="0"/>
    </xf>
    <xf numFmtId="4" fontId="73" fillId="45" borderId="10" xfId="0" applyNumberFormat="1" applyFont="1" applyFill="1" applyBorder="1" applyAlignment="1" applyProtection="1">
      <alignment horizontal="center" wrapText="1"/>
      <protection locked="0"/>
    </xf>
    <xf numFmtId="0" fontId="25" fillId="33" borderId="13" xfId="0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39" fillId="33" borderId="17" xfId="0" applyFont="1" applyFill="1" applyBorder="1" applyAlignment="1">
      <alignment horizontal="center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25" fillId="33" borderId="13" xfId="0" applyFont="1" applyFill="1" applyBorder="1" applyAlignment="1" applyProtection="1">
      <alignment/>
      <protection locked="0"/>
    </xf>
    <xf numFmtId="0" fontId="25" fillId="33" borderId="21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2" fontId="75" fillId="44" borderId="10" xfId="0" applyNumberFormat="1" applyFont="1" applyFill="1" applyBorder="1" applyAlignment="1" applyProtection="1">
      <alignment horizontal="center" wrapText="1"/>
      <protection locked="0"/>
    </xf>
    <xf numFmtId="0" fontId="39" fillId="41" borderId="17" xfId="70" applyFont="1" applyFill="1" applyBorder="1" applyAlignment="1">
      <alignment horizontal="center" wrapText="1"/>
      <protection/>
    </xf>
    <xf numFmtId="176" fontId="8" fillId="0" borderId="17" xfId="70" applyNumberFormat="1" applyFont="1" applyFill="1" applyBorder="1" applyAlignment="1">
      <alignment horizontal="center"/>
      <protection/>
    </xf>
    <xf numFmtId="170" fontId="85" fillId="0" borderId="10" xfId="0" applyNumberFormat="1" applyFont="1" applyBorder="1" applyAlignment="1" applyProtection="1">
      <alignment horizontal="left"/>
      <protection/>
    </xf>
    <xf numFmtId="2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168" fontId="72" fillId="0" borderId="10" xfId="42" applyFont="1" applyFill="1" applyBorder="1" applyAlignment="1" applyProtection="1">
      <alignment horizontal="center" vertical="center"/>
      <protection hidden="1"/>
    </xf>
    <xf numFmtId="0" fontId="73" fillId="0" borderId="0" xfId="0" applyFont="1" applyFill="1" applyBorder="1" applyAlignment="1" applyProtection="1">
      <alignment/>
      <protection locked="0"/>
    </xf>
    <xf numFmtId="4" fontId="73" fillId="33" borderId="0" xfId="0" applyNumberFormat="1" applyFont="1" applyFill="1" applyBorder="1" applyAlignment="1" applyProtection="1">
      <alignment horizontal="center"/>
      <protection locked="0"/>
    </xf>
    <xf numFmtId="0" fontId="72" fillId="0" borderId="10" xfId="0" applyFont="1" applyFill="1" applyBorder="1" applyAlignment="1" applyProtection="1">
      <alignment vertical="center"/>
      <protection locked="0"/>
    </xf>
    <xf numFmtId="168" fontId="72" fillId="0" borderId="15" xfId="42" applyFont="1" applyFill="1" applyBorder="1" applyAlignment="1" applyProtection="1">
      <alignment horizontal="center" vertical="center"/>
      <protection hidden="1"/>
    </xf>
    <xf numFmtId="185" fontId="72" fillId="0" borderId="15" xfId="86" applyNumberFormat="1" applyFont="1" applyFill="1" applyBorder="1" applyAlignment="1" applyProtection="1">
      <alignment horizontal="center" vertical="center"/>
      <protection hidden="1"/>
    </xf>
    <xf numFmtId="9" fontId="72" fillId="0" borderId="15" xfId="86" applyFont="1" applyFill="1" applyBorder="1" applyAlignment="1" applyProtection="1">
      <alignment horizontal="center" vertical="center"/>
      <protection hidden="1"/>
    </xf>
    <xf numFmtId="0" fontId="73" fillId="0" borderId="10" xfId="0" applyFont="1" applyFill="1" applyBorder="1" applyAlignment="1" applyProtection="1">
      <alignment vertical="center"/>
      <protection locked="0"/>
    </xf>
    <xf numFmtId="9" fontId="72" fillId="0" borderId="10" xfId="86" applyFont="1" applyFill="1" applyBorder="1" applyAlignment="1" applyProtection="1">
      <alignment horizontal="center" vertical="center"/>
      <protection hidden="1"/>
    </xf>
    <xf numFmtId="9" fontId="73" fillId="33" borderId="13" xfId="86" applyFont="1" applyFill="1" applyBorder="1" applyAlignment="1" applyProtection="1">
      <alignment horizontal="center" vertical="center"/>
      <protection locked="0"/>
    </xf>
    <xf numFmtId="10" fontId="73" fillId="33" borderId="10" xfId="86" applyNumberFormat="1" applyFont="1" applyFill="1" applyBorder="1" applyAlignment="1" applyProtection="1">
      <alignment horizontal="center" vertical="center"/>
      <protection locked="0"/>
    </xf>
    <xf numFmtId="4" fontId="72" fillId="33" borderId="10" xfId="0" applyNumberFormat="1" applyFont="1" applyFill="1" applyBorder="1" applyAlignment="1" applyProtection="1">
      <alignment horizontal="center" vertical="center"/>
      <protection locked="0"/>
    </xf>
    <xf numFmtId="4" fontId="73" fillId="33" borderId="10" xfId="0" applyNumberFormat="1" applyFont="1" applyFill="1" applyBorder="1" applyAlignment="1" applyProtection="1">
      <alignment horizontal="center" vertical="center"/>
      <protection locked="0"/>
    </xf>
    <xf numFmtId="9" fontId="72" fillId="33" borderId="10" xfId="86" applyFont="1" applyFill="1" applyBorder="1" applyAlignment="1" applyProtection="1">
      <alignment horizontal="center" vertical="center"/>
      <protection locked="0"/>
    </xf>
    <xf numFmtId="185" fontId="72" fillId="0" borderId="10" xfId="86" applyNumberFormat="1" applyFont="1" applyFill="1" applyBorder="1" applyAlignment="1" applyProtection="1">
      <alignment horizontal="center" vertical="center"/>
      <protection hidden="1"/>
    </xf>
    <xf numFmtId="9" fontId="73" fillId="33" borderId="10" xfId="86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vertical="center"/>
      <protection locked="0"/>
    </xf>
    <xf numFmtId="0" fontId="72" fillId="33" borderId="0" xfId="0" applyFont="1" applyFill="1" applyAlignment="1" applyProtection="1">
      <alignment vertical="center"/>
      <protection locked="0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9" fontId="28" fillId="33" borderId="10" xfId="86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vertical="center"/>
      <protection locked="0"/>
    </xf>
    <xf numFmtId="10" fontId="28" fillId="33" borderId="10" xfId="86" applyNumberFormat="1" applyFont="1" applyFill="1" applyBorder="1" applyAlignment="1" applyProtection="1">
      <alignment horizontal="center" vertical="center"/>
      <protection locked="0"/>
    </xf>
    <xf numFmtId="4" fontId="25" fillId="33" borderId="10" xfId="0" applyNumberFormat="1" applyFont="1" applyFill="1" applyBorder="1" applyAlignment="1" applyProtection="1">
      <alignment horizontal="center" vertical="center"/>
      <protection locked="0"/>
    </xf>
    <xf numFmtId="168" fontId="25" fillId="0" borderId="10" xfId="42" applyFont="1" applyFill="1" applyBorder="1" applyAlignment="1" applyProtection="1">
      <alignment vertical="center"/>
      <protection hidden="1"/>
    </xf>
    <xf numFmtId="185" fontId="25" fillId="0" borderId="10" xfId="86" applyNumberFormat="1" applyFont="1" applyFill="1" applyBorder="1" applyAlignment="1" applyProtection="1">
      <alignment horizontal="center" vertical="center"/>
      <protection hidden="1"/>
    </xf>
    <xf numFmtId="168" fontId="25" fillId="0" borderId="10" xfId="42" applyFont="1" applyFill="1" applyBorder="1" applyAlignment="1" applyProtection="1">
      <alignment horizontal="center" vertical="center"/>
      <protection hidden="1"/>
    </xf>
    <xf numFmtId="9" fontId="25" fillId="0" borderId="10" xfId="86" applyFont="1" applyFill="1" applyBorder="1" applyAlignment="1" applyProtection="1">
      <alignment horizontal="center" vertical="center"/>
      <protection hidden="1"/>
    </xf>
    <xf numFmtId="4" fontId="51" fillId="33" borderId="10" xfId="0" applyNumberFormat="1" applyFont="1" applyFill="1" applyBorder="1" applyAlignment="1" applyProtection="1">
      <alignment horizontal="center" vertical="center"/>
      <protection locked="0"/>
    </xf>
    <xf numFmtId="4" fontId="28" fillId="33" borderId="10" xfId="0" applyNumberFormat="1" applyFont="1" applyFill="1" applyBorder="1" applyAlignment="1" applyProtection="1">
      <alignment horizontal="center" vertical="center"/>
      <protection locked="0"/>
    </xf>
    <xf numFmtId="9" fontId="25" fillId="33" borderId="10" xfId="86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2" fontId="75" fillId="44" borderId="14" xfId="0" applyNumberFormat="1" applyFont="1" applyFill="1" applyBorder="1" applyAlignment="1" applyProtection="1">
      <alignment horizontal="center" vertical="center" wrapText="1"/>
      <protection locked="0"/>
    </xf>
    <xf numFmtId="2" fontId="75" fillId="44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 applyProtection="1">
      <alignment horizontal="center"/>
      <protection locked="0"/>
    </xf>
    <xf numFmtId="0" fontId="81" fillId="0" borderId="0" xfId="0" applyFont="1" applyFill="1" applyBorder="1" applyAlignment="1" applyProtection="1">
      <alignment horizontal="center" vertical="center" wrapText="1"/>
      <protection locked="0"/>
    </xf>
    <xf numFmtId="0" fontId="75" fillId="44" borderId="13" xfId="0" applyFont="1" applyFill="1" applyBorder="1" applyAlignment="1" applyProtection="1">
      <alignment horizontal="center" vertical="center" wrapText="1"/>
      <protection locked="0"/>
    </xf>
    <xf numFmtId="0" fontId="75" fillId="44" borderId="11" xfId="0" applyFont="1" applyFill="1" applyBorder="1" applyAlignment="1" applyProtection="1">
      <alignment horizontal="center" vertical="center" wrapText="1"/>
      <protection locked="0"/>
    </xf>
    <xf numFmtId="2" fontId="25" fillId="33" borderId="13" xfId="0" applyNumberFormat="1" applyFont="1" applyFill="1" applyBorder="1" applyAlignment="1" applyProtection="1">
      <alignment horizontal="center"/>
      <protection locked="0"/>
    </xf>
    <xf numFmtId="2" fontId="25" fillId="33" borderId="11" xfId="0" applyNumberFormat="1" applyFont="1" applyFill="1" applyBorder="1" applyAlignment="1" applyProtection="1">
      <alignment horizontal="center"/>
      <protection locked="0"/>
    </xf>
    <xf numFmtId="0" fontId="92" fillId="38" borderId="12" xfId="0" applyFont="1" applyFill="1" applyBorder="1" applyAlignment="1" applyProtection="1">
      <alignment horizontal="right"/>
      <protection locked="0"/>
    </xf>
    <xf numFmtId="0" fontId="92" fillId="38" borderId="0" xfId="0" applyFont="1" applyFill="1" applyAlignment="1" applyProtection="1">
      <alignment horizontal="right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2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44" borderId="23" xfId="0" applyFont="1" applyFill="1" applyBorder="1" applyAlignment="1" applyProtection="1">
      <alignment horizontal="center" vertical="center" wrapText="1"/>
      <protection locked="0"/>
    </xf>
    <xf numFmtId="0" fontId="75" fillId="44" borderId="12" xfId="0" applyFont="1" applyFill="1" applyBorder="1" applyAlignment="1" applyProtection="1">
      <alignment horizontal="center" vertical="center" wrapText="1"/>
      <protection locked="0"/>
    </xf>
    <xf numFmtId="0" fontId="75" fillId="44" borderId="24" xfId="0" applyFont="1" applyFill="1" applyBorder="1" applyAlignment="1" applyProtection="1">
      <alignment horizontal="center" vertical="center" wrapText="1"/>
      <protection locked="0"/>
    </xf>
    <xf numFmtId="0" fontId="75" fillId="44" borderId="19" xfId="0" applyFont="1" applyFill="1" applyBorder="1" applyAlignment="1" applyProtection="1">
      <alignment horizontal="center" vertical="center" wrapText="1"/>
      <protection locked="0"/>
    </xf>
    <xf numFmtId="0" fontId="75" fillId="44" borderId="18" xfId="0" applyFont="1" applyFill="1" applyBorder="1" applyAlignment="1" applyProtection="1">
      <alignment horizontal="center" vertical="center" wrapText="1"/>
      <protection locked="0"/>
    </xf>
    <xf numFmtId="0" fontId="75" fillId="44" borderId="25" xfId="0" applyFont="1" applyFill="1" applyBorder="1" applyAlignment="1" applyProtection="1">
      <alignment horizontal="center" vertical="center" wrapText="1"/>
      <protection locked="0"/>
    </xf>
    <xf numFmtId="4" fontId="48" fillId="38" borderId="26" xfId="0" applyNumberFormat="1" applyFont="1" applyFill="1" applyBorder="1" applyAlignment="1" applyProtection="1">
      <alignment horizontal="center"/>
      <protection locked="0"/>
    </xf>
    <xf numFmtId="4" fontId="48" fillId="38" borderId="27" xfId="0" applyNumberFormat="1" applyFont="1" applyFill="1" applyBorder="1" applyAlignment="1" applyProtection="1">
      <alignment horizontal="center"/>
      <protection locked="0"/>
    </xf>
    <xf numFmtId="4" fontId="48" fillId="38" borderId="28" xfId="0" applyNumberFormat="1" applyFont="1" applyFill="1" applyBorder="1" applyAlignment="1" applyProtection="1">
      <alignment horizontal="center"/>
      <protection locked="0"/>
    </xf>
    <xf numFmtId="0" fontId="75" fillId="44" borderId="21" xfId="0" applyFont="1" applyFill="1" applyBorder="1" applyAlignment="1" applyProtection="1">
      <alignment horizontal="center" vertical="center" wrapText="1"/>
      <protection locked="0"/>
    </xf>
    <xf numFmtId="0" fontId="72" fillId="33" borderId="13" xfId="0" applyFont="1" applyFill="1" applyBorder="1" applyAlignment="1" applyProtection="1">
      <alignment horizontal="center"/>
      <protection locked="0"/>
    </xf>
    <xf numFmtId="0" fontId="72" fillId="33" borderId="21" xfId="0" applyFont="1" applyFill="1" applyBorder="1" applyAlignment="1" applyProtection="1">
      <alignment horizontal="center"/>
      <protection locked="0"/>
    </xf>
    <xf numFmtId="0" fontId="72" fillId="33" borderId="11" xfId="0" applyFont="1" applyFill="1" applyBorder="1" applyAlignment="1" applyProtection="1">
      <alignment horizontal="center"/>
      <protection locked="0"/>
    </xf>
    <xf numFmtId="0" fontId="73" fillId="45" borderId="13" xfId="0" applyFont="1" applyFill="1" applyBorder="1" applyAlignment="1" applyProtection="1">
      <alignment horizontal="center" vertical="center" wrapText="1"/>
      <protection locked="0"/>
    </xf>
    <xf numFmtId="0" fontId="73" fillId="45" borderId="11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/>
      <protection locked="0"/>
    </xf>
    <xf numFmtId="0" fontId="73" fillId="0" borderId="11" xfId="0" applyFont="1" applyFill="1" applyBorder="1" applyAlignment="1" applyProtection="1">
      <alignment horizontal="center"/>
      <protection locked="0"/>
    </xf>
    <xf numFmtId="0" fontId="73" fillId="45" borderId="21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18" xfId="0" applyFont="1" applyFill="1" applyBorder="1" applyAlignment="1" applyProtection="1">
      <alignment horizontal="center" vertical="center"/>
      <protection locked="0"/>
    </xf>
    <xf numFmtId="0" fontId="73" fillId="45" borderId="14" xfId="0" applyFont="1" applyFill="1" applyBorder="1" applyAlignment="1" applyProtection="1">
      <alignment horizontal="center" vertical="center" wrapText="1"/>
      <protection locked="0"/>
    </xf>
    <xf numFmtId="0" fontId="73" fillId="45" borderId="22" xfId="0" applyFont="1" applyFill="1" applyBorder="1" applyAlignment="1" applyProtection="1">
      <alignment horizontal="center" vertical="center" wrapText="1"/>
      <protection locked="0"/>
    </xf>
    <xf numFmtId="0" fontId="73" fillId="33" borderId="13" xfId="0" applyFont="1" applyFill="1" applyBorder="1" applyAlignment="1" applyProtection="1">
      <alignment horizontal="center"/>
      <protection locked="0"/>
    </xf>
    <xf numFmtId="0" fontId="73" fillId="33" borderId="11" xfId="0" applyFont="1" applyFill="1" applyBorder="1" applyAlignment="1" applyProtection="1">
      <alignment horizontal="center"/>
      <protection locked="0"/>
    </xf>
    <xf numFmtId="0" fontId="77" fillId="38" borderId="10" xfId="0" applyFont="1" applyFill="1" applyBorder="1" applyAlignment="1" applyProtection="1">
      <alignment horizontal="center" vertical="center"/>
      <protection locked="0"/>
    </xf>
    <xf numFmtId="0" fontId="77" fillId="38" borderId="0" xfId="0" applyFont="1" applyFill="1" applyAlignment="1" applyProtection="1">
      <alignment horizontal="right"/>
      <protection locked="0"/>
    </xf>
    <xf numFmtId="2" fontId="72" fillId="33" borderId="13" xfId="0" applyNumberFormat="1" applyFont="1" applyFill="1" applyBorder="1" applyAlignment="1" applyProtection="1">
      <alignment horizontal="center"/>
      <protection locked="0"/>
    </xf>
    <xf numFmtId="2" fontId="72" fillId="33" borderId="11" xfId="0" applyNumberFormat="1" applyFont="1" applyFill="1" applyBorder="1" applyAlignment="1" applyProtection="1">
      <alignment horizontal="center"/>
      <protection locked="0"/>
    </xf>
    <xf numFmtId="0" fontId="73" fillId="45" borderId="23" xfId="0" applyFont="1" applyFill="1" applyBorder="1" applyAlignment="1" applyProtection="1">
      <alignment horizontal="center" vertical="center" wrapText="1"/>
      <protection locked="0"/>
    </xf>
    <xf numFmtId="0" fontId="73" fillId="45" borderId="12" xfId="0" applyFont="1" applyFill="1" applyBorder="1" applyAlignment="1" applyProtection="1">
      <alignment horizontal="center" vertical="center" wrapText="1"/>
      <protection locked="0"/>
    </xf>
    <xf numFmtId="0" fontId="73" fillId="45" borderId="24" xfId="0" applyFont="1" applyFill="1" applyBorder="1" applyAlignment="1" applyProtection="1">
      <alignment horizontal="center" vertical="center" wrapText="1"/>
      <protection locked="0"/>
    </xf>
    <xf numFmtId="0" fontId="73" fillId="45" borderId="19" xfId="0" applyFont="1" applyFill="1" applyBorder="1" applyAlignment="1" applyProtection="1">
      <alignment horizontal="center" vertical="center" wrapText="1"/>
      <protection locked="0"/>
    </xf>
    <xf numFmtId="0" fontId="73" fillId="45" borderId="18" xfId="0" applyFont="1" applyFill="1" applyBorder="1" applyAlignment="1" applyProtection="1">
      <alignment horizontal="center" vertical="center" wrapText="1"/>
      <protection locked="0"/>
    </xf>
    <xf numFmtId="0" fontId="73" fillId="45" borderId="25" xfId="0" applyFont="1" applyFill="1" applyBorder="1" applyAlignment="1" applyProtection="1">
      <alignment horizontal="center" vertical="center" wrapText="1"/>
      <protection locked="0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2" fontId="77" fillId="38" borderId="10" xfId="0" applyNumberFormat="1" applyFont="1" applyFill="1" applyBorder="1" applyAlignment="1" applyProtection="1">
      <alignment horizontal="center" vertical="center"/>
      <protection locked="0"/>
    </xf>
    <xf numFmtId="170" fontId="77" fillId="38" borderId="10" xfId="0" applyNumberFormat="1" applyFont="1" applyFill="1" applyBorder="1" applyAlignment="1" applyProtection="1">
      <alignment horizontal="center" vertical="center"/>
      <protection locked="0"/>
    </xf>
    <xf numFmtId="2" fontId="88" fillId="38" borderId="10" xfId="0" applyNumberFormat="1" applyFont="1" applyFill="1" applyBorder="1" applyAlignment="1" applyProtection="1">
      <alignment horizontal="center" vertical="center"/>
      <protection locked="0"/>
    </xf>
    <xf numFmtId="0" fontId="73" fillId="46" borderId="23" xfId="0" applyFont="1" applyFill="1" applyBorder="1" applyAlignment="1" applyProtection="1">
      <alignment horizontal="center" vertical="center" wrapText="1"/>
      <protection locked="0"/>
    </xf>
    <xf numFmtId="0" fontId="73" fillId="46" borderId="12" xfId="0" applyFont="1" applyFill="1" applyBorder="1" applyAlignment="1" applyProtection="1">
      <alignment horizontal="center" vertical="center" wrapText="1"/>
      <protection locked="0"/>
    </xf>
    <xf numFmtId="0" fontId="73" fillId="46" borderId="24" xfId="0" applyFont="1" applyFill="1" applyBorder="1" applyAlignment="1" applyProtection="1">
      <alignment horizontal="center" vertical="center" wrapText="1"/>
      <protection locked="0"/>
    </xf>
    <xf numFmtId="0" fontId="73" fillId="46" borderId="19" xfId="0" applyFont="1" applyFill="1" applyBorder="1" applyAlignment="1" applyProtection="1">
      <alignment horizontal="center" vertical="center" wrapText="1"/>
      <protection locked="0"/>
    </xf>
    <xf numFmtId="0" fontId="73" fillId="46" borderId="18" xfId="0" applyFont="1" applyFill="1" applyBorder="1" applyAlignment="1" applyProtection="1">
      <alignment horizontal="center" vertical="center" wrapText="1"/>
      <protection locked="0"/>
    </xf>
    <xf numFmtId="0" fontId="73" fillId="46" borderId="25" xfId="0" applyFont="1" applyFill="1" applyBorder="1" applyAlignment="1" applyProtection="1">
      <alignment horizontal="center" vertical="center" wrapText="1"/>
      <protection locked="0"/>
    </xf>
    <xf numFmtId="0" fontId="81" fillId="0" borderId="18" xfId="0" applyFont="1" applyFill="1" applyBorder="1" applyAlignment="1" applyProtection="1">
      <alignment horizontal="center" vertical="center" wrapText="1"/>
      <protection locked="0"/>
    </xf>
    <xf numFmtId="0" fontId="73" fillId="33" borderId="10" xfId="0" applyFont="1" applyFill="1" applyBorder="1" applyAlignment="1" applyProtection="1">
      <alignment horizontal="center"/>
      <protection locked="0"/>
    </xf>
    <xf numFmtId="0" fontId="73" fillId="46" borderId="13" xfId="0" applyFont="1" applyFill="1" applyBorder="1" applyAlignment="1" applyProtection="1">
      <alignment horizontal="center" vertical="center" wrapText="1"/>
      <protection locked="0"/>
    </xf>
    <xf numFmtId="0" fontId="73" fillId="46" borderId="11" xfId="0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73" fillId="46" borderId="21" xfId="0" applyFont="1" applyFill="1" applyBorder="1" applyAlignment="1" applyProtection="1">
      <alignment horizontal="center" vertical="center" wrapText="1"/>
      <protection locked="0"/>
    </xf>
    <xf numFmtId="0" fontId="73" fillId="46" borderId="14" xfId="0" applyFont="1" applyFill="1" applyBorder="1" applyAlignment="1" applyProtection="1">
      <alignment horizontal="center" vertical="center" wrapText="1"/>
      <protection locked="0"/>
    </xf>
    <xf numFmtId="0" fontId="73" fillId="46" borderId="22" xfId="0" applyFont="1" applyFill="1" applyBorder="1" applyAlignment="1" applyProtection="1">
      <alignment horizontal="center" vertical="center" wrapText="1"/>
      <protection locked="0"/>
    </xf>
    <xf numFmtId="0" fontId="78" fillId="38" borderId="0" xfId="0" applyFont="1" applyFill="1" applyAlignment="1" applyProtection="1">
      <alignment horizontal="right"/>
      <protection locked="0"/>
    </xf>
    <xf numFmtId="0" fontId="93" fillId="38" borderId="0" xfId="0" applyFont="1" applyFill="1" applyAlignment="1">
      <alignment horizontal="right"/>
    </xf>
    <xf numFmtId="4" fontId="77" fillId="38" borderId="10" xfId="0" applyNumberFormat="1" applyFont="1" applyFill="1" applyBorder="1" applyAlignment="1" applyProtection="1">
      <alignment horizontal="center"/>
      <protection locked="0"/>
    </xf>
    <xf numFmtId="0" fontId="73" fillId="46" borderId="10" xfId="0" applyFont="1" applyFill="1" applyBorder="1" applyAlignment="1" applyProtection="1">
      <alignment horizontal="center" vertical="center" wrapText="1"/>
      <protection locked="0"/>
    </xf>
    <xf numFmtId="4" fontId="88" fillId="38" borderId="10" xfId="0" applyNumberFormat="1" applyFont="1" applyFill="1" applyBorder="1" applyAlignment="1" applyProtection="1">
      <alignment horizontal="center"/>
      <protection locked="0"/>
    </xf>
    <xf numFmtId="0" fontId="25" fillId="33" borderId="13" xfId="0" applyFont="1" applyFill="1" applyBorder="1" applyAlignment="1" applyProtection="1">
      <alignment horizontal="center"/>
      <protection locked="0"/>
    </xf>
    <xf numFmtId="0" fontId="25" fillId="33" borderId="21" xfId="0" applyFont="1" applyFill="1" applyBorder="1" applyAlignment="1" applyProtection="1">
      <alignment horizontal="center"/>
      <protection locked="0"/>
    </xf>
    <xf numFmtId="0" fontId="25" fillId="33" borderId="11" xfId="0" applyFont="1" applyFill="1" applyBorder="1" applyAlignment="1" applyProtection="1">
      <alignment horizontal="center"/>
      <protection locked="0"/>
    </xf>
    <xf numFmtId="0" fontId="89" fillId="47" borderId="23" xfId="0" applyFont="1" applyFill="1" applyBorder="1" applyAlignment="1" applyProtection="1">
      <alignment horizontal="center" vertical="center" wrapText="1"/>
      <protection locked="0"/>
    </xf>
    <xf numFmtId="0" fontId="89" fillId="47" borderId="12" xfId="0" applyFont="1" applyFill="1" applyBorder="1" applyAlignment="1" applyProtection="1">
      <alignment horizontal="center" vertical="center" wrapText="1"/>
      <protection locked="0"/>
    </xf>
    <xf numFmtId="0" fontId="89" fillId="47" borderId="24" xfId="0" applyFont="1" applyFill="1" applyBorder="1" applyAlignment="1" applyProtection="1">
      <alignment horizontal="center" vertical="center" wrapText="1"/>
      <protection locked="0"/>
    </xf>
    <xf numFmtId="0" fontId="89" fillId="47" borderId="19" xfId="0" applyFont="1" applyFill="1" applyBorder="1" applyAlignment="1" applyProtection="1">
      <alignment horizontal="center" vertical="center" wrapText="1"/>
      <protection locked="0"/>
    </xf>
    <xf numFmtId="0" fontId="89" fillId="47" borderId="18" xfId="0" applyFont="1" applyFill="1" applyBorder="1" applyAlignment="1" applyProtection="1">
      <alignment horizontal="center" vertical="center" wrapText="1"/>
      <protection locked="0"/>
    </xf>
    <xf numFmtId="0" fontId="89" fillId="47" borderId="25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89" fillId="47" borderId="13" xfId="0" applyFont="1" applyFill="1" applyBorder="1" applyAlignment="1" applyProtection="1">
      <alignment horizontal="center" vertical="center" wrapText="1"/>
      <protection locked="0"/>
    </xf>
    <xf numFmtId="0" fontId="89" fillId="47" borderId="11" xfId="0" applyFont="1" applyFill="1" applyBorder="1" applyAlignment="1" applyProtection="1">
      <alignment horizontal="center" vertical="center" wrapText="1"/>
      <protection locked="0"/>
    </xf>
    <xf numFmtId="0" fontId="89" fillId="47" borderId="21" xfId="0" applyFont="1" applyFill="1" applyBorder="1" applyAlignment="1" applyProtection="1">
      <alignment horizontal="center" vertical="center" wrapText="1"/>
      <protection locked="0"/>
    </xf>
    <xf numFmtId="0" fontId="89" fillId="47" borderId="14" xfId="0" applyFont="1" applyFill="1" applyBorder="1" applyAlignment="1" applyProtection="1">
      <alignment horizontal="center" vertical="center" wrapText="1"/>
      <protection locked="0"/>
    </xf>
    <xf numFmtId="0" fontId="89" fillId="47" borderId="22" xfId="0" applyFont="1" applyFill="1" applyBorder="1" applyAlignment="1" applyProtection="1">
      <alignment horizontal="center" vertical="center" wrapText="1"/>
      <protection locked="0"/>
    </xf>
    <xf numFmtId="0" fontId="25" fillId="33" borderId="23" xfId="0" applyFont="1" applyFill="1" applyBorder="1" applyAlignment="1" applyProtection="1">
      <alignment horizontal="center"/>
      <protection locked="0"/>
    </xf>
    <xf numFmtId="0" fontId="25" fillId="33" borderId="12" xfId="0" applyFont="1" applyFill="1" applyBorder="1" applyAlignment="1" applyProtection="1">
      <alignment horizontal="center"/>
      <protection locked="0"/>
    </xf>
    <xf numFmtId="0" fontId="25" fillId="33" borderId="24" xfId="0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4" fontId="48" fillId="38" borderId="10" xfId="0" applyNumberFormat="1" applyFont="1" applyFill="1" applyBorder="1" applyAlignment="1" applyProtection="1">
      <alignment horizontal="center"/>
      <protection locked="0"/>
    </xf>
    <xf numFmtId="0" fontId="73" fillId="33" borderId="23" xfId="0" applyFont="1" applyFill="1" applyBorder="1" applyAlignment="1" applyProtection="1">
      <alignment horizontal="center"/>
      <protection locked="0"/>
    </xf>
    <xf numFmtId="0" fontId="73" fillId="33" borderId="24" xfId="0" applyFont="1" applyFill="1" applyBorder="1" applyAlignment="1" applyProtection="1">
      <alignment horizontal="center"/>
      <protection locked="0"/>
    </xf>
    <xf numFmtId="0" fontId="78" fillId="33" borderId="0" xfId="0" applyFont="1" applyFill="1" applyAlignment="1" applyProtection="1">
      <alignment horizontal="right"/>
      <protection locked="0"/>
    </xf>
    <xf numFmtId="0" fontId="94" fillId="0" borderId="0" xfId="0" applyFont="1" applyAlignment="1">
      <alignment horizontal="right"/>
    </xf>
    <xf numFmtId="0" fontId="28" fillId="33" borderId="23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28" fillId="33" borderId="19" xfId="0" applyFont="1" applyFill="1" applyBorder="1" applyAlignment="1" applyProtection="1">
      <alignment horizontal="center"/>
      <protection locked="0"/>
    </xf>
    <xf numFmtId="0" fontId="28" fillId="33" borderId="18" xfId="0" applyFont="1" applyFill="1" applyBorder="1" applyAlignment="1" applyProtection="1">
      <alignment horizontal="center"/>
      <protection locked="0"/>
    </xf>
    <xf numFmtId="0" fontId="78" fillId="33" borderId="12" xfId="0" applyFont="1" applyFill="1" applyBorder="1" applyAlignment="1" applyProtection="1">
      <alignment horizontal="right"/>
      <protection locked="0"/>
    </xf>
    <xf numFmtId="0" fontId="94" fillId="0" borderId="12" xfId="0" applyFont="1" applyBorder="1" applyAlignment="1">
      <alignment horizontal="right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89" fillId="47" borderId="29" xfId="0" applyFont="1" applyFill="1" applyBorder="1" applyAlignment="1" applyProtection="1">
      <alignment horizontal="center" vertical="center" wrapText="1"/>
      <protection locked="0"/>
    </xf>
    <xf numFmtId="4" fontId="48" fillId="38" borderId="13" xfId="0" applyNumberFormat="1" applyFont="1" applyFill="1" applyBorder="1" applyAlignment="1" applyProtection="1">
      <alignment horizontal="center"/>
      <protection locked="0"/>
    </xf>
    <xf numFmtId="4" fontId="48" fillId="38" borderId="21" xfId="0" applyNumberFormat="1" applyFont="1" applyFill="1" applyBorder="1" applyAlignment="1" applyProtection="1">
      <alignment horizontal="center"/>
      <protection locked="0"/>
    </xf>
    <xf numFmtId="4" fontId="48" fillId="38" borderId="11" xfId="0" applyNumberFormat="1" applyFont="1" applyFill="1" applyBorder="1" applyAlignment="1" applyProtection="1">
      <alignment horizontal="center"/>
      <protection locked="0"/>
    </xf>
    <xf numFmtId="4" fontId="48" fillId="38" borderId="13" xfId="0" applyNumberFormat="1" applyFont="1" applyFill="1" applyBorder="1" applyAlignment="1" applyProtection="1">
      <alignment horizontal="center" vertical="center"/>
      <protection locked="0"/>
    </xf>
    <xf numFmtId="4" fontId="48" fillId="38" borderId="21" xfId="0" applyNumberFormat="1" applyFont="1" applyFill="1" applyBorder="1" applyAlignment="1" applyProtection="1">
      <alignment horizontal="center" vertical="center"/>
      <protection locked="0"/>
    </xf>
    <xf numFmtId="4" fontId="48" fillId="38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center"/>
    </xf>
    <xf numFmtId="0" fontId="39" fillId="48" borderId="17" xfId="0" applyFont="1" applyFill="1" applyBorder="1" applyAlignment="1">
      <alignment horizontal="center" vertical="center" wrapText="1"/>
    </xf>
    <xf numFmtId="0" fontId="79" fillId="42" borderId="17" xfId="0" applyFont="1" applyFill="1" applyBorder="1" applyAlignment="1">
      <alignment horizontal="center" wrapText="1"/>
    </xf>
    <xf numFmtId="0" fontId="39" fillId="48" borderId="30" xfId="0" applyFont="1" applyFill="1" applyBorder="1" applyAlignment="1">
      <alignment horizontal="center" vertical="center" wrapText="1"/>
    </xf>
    <xf numFmtId="0" fontId="39" fillId="48" borderId="31" xfId="0" applyFont="1" applyFill="1" applyBorder="1" applyAlignment="1">
      <alignment horizontal="center" vertical="center" wrapText="1"/>
    </xf>
    <xf numFmtId="0" fontId="39" fillId="48" borderId="32" xfId="0" applyFont="1" applyFill="1" applyBorder="1" applyAlignment="1">
      <alignment horizontal="center" vertical="center" wrapText="1"/>
    </xf>
    <xf numFmtId="0" fontId="72" fillId="38" borderId="13" xfId="0" applyFont="1" applyFill="1" applyBorder="1" applyAlignment="1" applyProtection="1">
      <alignment horizontal="center"/>
      <protection locked="0"/>
    </xf>
    <xf numFmtId="0" fontId="72" fillId="38" borderId="11" xfId="0" applyFont="1" applyFill="1" applyBorder="1" applyAlignment="1" applyProtection="1">
      <alignment horizontal="center"/>
      <protection locked="0"/>
    </xf>
    <xf numFmtId="0" fontId="25" fillId="38" borderId="13" xfId="0" applyFont="1" applyFill="1" applyBorder="1" applyAlignment="1" applyProtection="1">
      <alignment horizontal="center"/>
      <protection locked="0"/>
    </xf>
    <xf numFmtId="0" fontId="25" fillId="38" borderId="11" xfId="0" applyFont="1" applyFill="1" applyBorder="1" applyAlignment="1" applyProtection="1">
      <alignment horizontal="center"/>
      <protection locked="0"/>
    </xf>
    <xf numFmtId="174" fontId="28" fillId="33" borderId="13" xfId="0" applyNumberFormat="1" applyFont="1" applyFill="1" applyBorder="1" applyAlignment="1" applyProtection="1">
      <alignment horizontal="center"/>
      <protection locked="0"/>
    </xf>
    <xf numFmtId="174" fontId="28" fillId="33" borderId="11" xfId="0" applyNumberFormat="1" applyFont="1" applyFill="1" applyBorder="1" applyAlignment="1" applyProtection="1">
      <alignment horizontal="center"/>
      <protection locked="0"/>
    </xf>
    <xf numFmtId="0" fontId="28" fillId="33" borderId="13" xfId="0" applyFont="1" applyFill="1" applyBorder="1" applyAlignment="1" applyProtection="1">
      <alignment horizontal="center"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13" xfId="0" applyNumberFormat="1" applyFont="1" applyFill="1" applyBorder="1" applyAlignment="1" applyProtection="1">
      <alignment horizontal="center"/>
      <protection locked="0"/>
    </xf>
    <xf numFmtId="0" fontId="28" fillId="33" borderId="11" xfId="0" applyNumberFormat="1" applyFont="1" applyFill="1" applyBorder="1" applyAlignment="1" applyProtection="1">
      <alignment horizontal="center"/>
      <protection locked="0"/>
    </xf>
    <xf numFmtId="175" fontId="28" fillId="33" borderId="13" xfId="0" applyNumberFormat="1" applyFont="1" applyFill="1" applyBorder="1" applyAlignment="1" applyProtection="1">
      <alignment horizontal="center"/>
      <protection locked="0"/>
    </xf>
    <xf numFmtId="175" fontId="28" fillId="33" borderId="11" xfId="0" applyNumberFormat="1" applyFont="1" applyFill="1" applyBorder="1" applyAlignment="1" applyProtection="1">
      <alignment horizontal="center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2_final+other_targets US (2)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rmal 3" xfId="72"/>
    <cellStyle name="Normal 3 2" xfId="73"/>
    <cellStyle name="Normal 3 3" xfId="74"/>
    <cellStyle name="Normal 3_Ostoinostena shema_July_2013" xfId="75"/>
    <cellStyle name="Normal 4" xfId="76"/>
    <cellStyle name="Normal 4 2" xfId="77"/>
    <cellStyle name="Normal 5" xfId="78"/>
    <cellStyle name="Normal 6" xfId="79"/>
    <cellStyle name="Normal 7" xfId="80"/>
    <cellStyle name="Normal 8" xfId="81"/>
    <cellStyle name="Normal 9" xfId="82"/>
    <cellStyle name="Normal_Prices RTG_ 11-2011-2" xfId="83"/>
    <cellStyle name="Note" xfId="84"/>
    <cellStyle name="Output" xfId="85"/>
    <cellStyle name="Percent" xfId="86"/>
    <cellStyle name="Percent 2" xfId="87"/>
    <cellStyle name="Percent 2 2" xfId="88"/>
    <cellStyle name="Percent 2 3" xfId="89"/>
    <cellStyle name="Percent 3" xfId="90"/>
    <cellStyle name="Percent 3 2" xfId="91"/>
    <cellStyle name="Percent 3 3" xfId="92"/>
    <cellStyle name="Percent 4" xfId="93"/>
    <cellStyle name="Percent 5" xfId="94"/>
    <cellStyle name="Title" xfId="95"/>
    <cellStyle name="Total" xfId="96"/>
    <cellStyle name="Warning Text" xfId="97"/>
  </cellStyles>
  <dxfs count="75">
    <dxf>
      <font>
        <color indexed="9"/>
      </font>
    </dxf>
    <dxf>
      <font>
        <color indexed="9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2105025</xdr:colOff>
      <xdr:row>1</xdr:row>
      <xdr:rowOff>190500</xdr:rowOff>
    </xdr:from>
    <xdr:to>
      <xdr:col>1</xdr:col>
      <xdr:colOff>876300</xdr:colOff>
      <xdr:row>4</xdr:row>
      <xdr:rowOff>133350</xdr:rowOff>
    </xdr:to>
    <xdr:pic>
      <xdr:nvPicPr>
        <xdr:cNvPr id="1" name="Picture 3" descr="БНТ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857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104775</xdr:rowOff>
    </xdr:from>
    <xdr:to>
      <xdr:col>7</xdr:col>
      <xdr:colOff>200025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00025"/>
          <a:ext cx="1790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</xdr:row>
      <xdr:rowOff>9525</xdr:rowOff>
    </xdr:from>
    <xdr:to>
      <xdr:col>2</xdr:col>
      <xdr:colOff>781050</xdr:colOff>
      <xdr:row>4</xdr:row>
      <xdr:rowOff>142875</xdr:rowOff>
    </xdr:to>
    <xdr:pic>
      <xdr:nvPicPr>
        <xdr:cNvPr id="1" name="Picture 2" descr="БНТ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762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</xdr:row>
      <xdr:rowOff>133350</xdr:rowOff>
    </xdr:from>
    <xdr:to>
      <xdr:col>6</xdr:col>
      <xdr:colOff>771525</xdr:colOff>
      <xdr:row>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38125"/>
          <a:ext cx="1809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2</xdr:row>
      <xdr:rowOff>9525</xdr:rowOff>
    </xdr:from>
    <xdr:to>
      <xdr:col>2</xdr:col>
      <xdr:colOff>695325</xdr:colOff>
      <xdr:row>3</xdr:row>
      <xdr:rowOff>304800</xdr:rowOff>
    </xdr:to>
    <xdr:pic>
      <xdr:nvPicPr>
        <xdr:cNvPr id="1" name="Picture 2" descr="БНТ 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95275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</xdr:row>
      <xdr:rowOff>104775</xdr:rowOff>
    </xdr:from>
    <xdr:to>
      <xdr:col>6</xdr:col>
      <xdr:colOff>885825</xdr:colOff>
      <xdr:row>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228600"/>
          <a:ext cx="1809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1</xdr:row>
      <xdr:rowOff>104775</xdr:rowOff>
    </xdr:from>
    <xdr:to>
      <xdr:col>2</xdr:col>
      <xdr:colOff>733425</xdr:colOff>
      <xdr:row>4</xdr:row>
      <xdr:rowOff>133350</xdr:rowOff>
    </xdr:to>
    <xdr:pic>
      <xdr:nvPicPr>
        <xdr:cNvPr id="1" name="Picture 2" descr="BNT Wor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857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</xdr:row>
      <xdr:rowOff>66675</xdr:rowOff>
    </xdr:from>
    <xdr:to>
      <xdr:col>6</xdr:col>
      <xdr:colOff>923925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47650"/>
          <a:ext cx="1809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64D0A"/>
    <pageSetUpPr fitToPage="1"/>
  </sheetPr>
  <dimension ref="A2:BS77"/>
  <sheetViews>
    <sheetView showGridLines="0" tabSelected="1" zoomScale="85" zoomScaleNormal="85" workbookViewId="0" topLeftCell="A1">
      <selection activeCell="AH65" sqref="AH65"/>
    </sheetView>
  </sheetViews>
  <sheetFormatPr defaultColWidth="9.140625" defaultRowHeight="12.75"/>
  <cols>
    <col min="1" max="1" width="42.140625" style="20" customWidth="1"/>
    <col min="2" max="2" width="22.28125" style="20" customWidth="1"/>
    <col min="3" max="3" width="17.8515625" style="20" customWidth="1"/>
    <col min="4" max="4" width="16.140625" style="20" customWidth="1"/>
    <col min="5" max="5" width="12.8515625" style="20" customWidth="1"/>
    <col min="6" max="6" width="14.140625" style="20" customWidth="1"/>
    <col min="7" max="7" width="15.421875" style="20" customWidth="1"/>
    <col min="8" max="8" width="9.7109375" style="20" customWidth="1"/>
    <col min="9" max="9" width="8.8515625" style="20" customWidth="1"/>
    <col min="10" max="10" width="10.421875" style="20" customWidth="1"/>
    <col min="11" max="25" width="6.8515625" style="20" hidden="1" customWidth="1"/>
    <col min="26" max="56" width="3.8515625" style="20" customWidth="1"/>
    <col min="57" max="57" width="16.00390625" style="20" customWidth="1"/>
    <col min="58" max="58" width="13.57421875" style="20" customWidth="1"/>
    <col min="59" max="60" width="13.421875" style="20" customWidth="1"/>
    <col min="61" max="61" width="12.8515625" style="20" customWidth="1"/>
    <col min="62" max="62" width="12.421875" style="20" customWidth="1"/>
    <col min="63" max="63" width="12.28125" style="20" customWidth="1"/>
    <col min="64" max="64" width="12.57421875" style="20" customWidth="1"/>
    <col min="65" max="66" width="9.28125" style="20" hidden="1" customWidth="1"/>
    <col min="67" max="67" width="9.140625" style="20" hidden="1" customWidth="1"/>
    <col min="68" max="68" width="9.28125" style="20" hidden="1" customWidth="1"/>
    <col min="69" max="72" width="9.140625" style="20" hidden="1" customWidth="1"/>
    <col min="73" max="84" width="9.140625" style="20" customWidth="1"/>
    <col min="85" max="85" width="5.00390625" style="20" customWidth="1"/>
    <col min="86" max="16384" width="9.140625" style="20" customWidth="1"/>
  </cols>
  <sheetData>
    <row r="1" ht="7.5" customHeight="1"/>
    <row r="2" spans="1:10" ht="19.5" customHeight="1">
      <c r="A2" s="234" t="str">
        <f>IF($B$6="BG","Фиксирани цени за месец ЯНУАРИ","Fixed prices JANUARY")</f>
        <v>Фиксирани цени за месец ЯНУАРИ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s="21" customFormat="1" ht="14.2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</row>
    <row r="4" spans="1:61" ht="17.2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BF4" s="24"/>
      <c r="BG4" s="24"/>
      <c r="BH4" s="24"/>
      <c r="BI4" s="24"/>
    </row>
    <row r="5" spans="1:61" ht="17.2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BF5" s="24"/>
      <c r="BG5" s="24"/>
      <c r="BH5" s="24"/>
      <c r="BI5" s="24"/>
    </row>
    <row r="6" spans="1:61" ht="17.25" customHeight="1">
      <c r="A6" s="149" t="s">
        <v>71</v>
      </c>
      <c r="B6" s="149" t="s">
        <v>73</v>
      </c>
      <c r="C6" s="130"/>
      <c r="D6" s="112"/>
      <c r="E6" s="112"/>
      <c r="F6" s="112"/>
      <c r="G6" s="112"/>
      <c r="H6" s="112"/>
      <c r="I6" s="112"/>
      <c r="J6" s="112"/>
      <c r="BF6" s="24"/>
      <c r="BG6" s="24"/>
      <c r="BH6" s="24"/>
      <c r="BI6" s="24"/>
    </row>
    <row r="7" spans="1:36" ht="33" customHeight="1">
      <c r="A7" s="149"/>
      <c r="B7" s="149"/>
      <c r="C7" s="149" t="str">
        <f>IF($B$6="BG","Бонус/Комп","Bonus/Comp")</f>
        <v>Бонус/Комп</v>
      </c>
      <c r="D7" s="149" t="str">
        <f>IF($B$6="BG","Име на клип","Name ot spot")</f>
        <v>Име на клип</v>
      </c>
      <c r="E7" s="235" t="str">
        <f>IF($B$6="BG","Код","Code")</f>
        <v>Код</v>
      </c>
      <c r="F7" s="236"/>
      <c r="G7" s="149" t="str">
        <f>IF($B$6="BG","Секунди","Secоnds")</f>
        <v>Секунди</v>
      </c>
      <c r="H7" s="235" t="str">
        <f>IF($B$6="BG","Коефициент 30 сек.","Coefficient to 30 sec.")</f>
        <v>Коефициент 30 сек.</v>
      </c>
      <c r="I7" s="236"/>
      <c r="J7" s="149" t="str">
        <f>IF($B$6="BG","Брой","Count")</f>
        <v>Брой</v>
      </c>
      <c r="AE7" s="120" t="s">
        <v>73</v>
      </c>
      <c r="AJ7"/>
    </row>
    <row r="8" spans="1:31" ht="12" customHeight="1">
      <c r="A8" s="12" t="str">
        <f>IF($B$6="BG","Агенция","Agency")</f>
        <v>Агенция</v>
      </c>
      <c r="B8" s="22"/>
      <c r="C8" s="22"/>
      <c r="D8" s="22"/>
      <c r="E8" s="241" t="s">
        <v>64</v>
      </c>
      <c r="F8" s="241"/>
      <c r="G8" s="13"/>
      <c r="H8" s="237">
        <f>IF(G8="",0,VLOOKUP(G8,data!$B$17:$C$102,2,FALSE))</f>
        <v>0</v>
      </c>
      <c r="I8" s="238"/>
      <c r="J8" s="13" t="b">
        <f>IF(G8&gt;0,(COUNTIF($Z$17:$BD$45,E8)))</f>
        <v>0</v>
      </c>
      <c r="AE8" s="120" t="s">
        <v>72</v>
      </c>
    </row>
    <row r="9" spans="1:31" ht="12" customHeight="1">
      <c r="A9" s="12" t="str">
        <f>IF($B$6="BG","Лице за контакт","Contact person")</f>
        <v>Лице за контакт</v>
      </c>
      <c r="B9" s="22"/>
      <c r="C9" s="22"/>
      <c r="D9" s="22"/>
      <c r="E9" s="241" t="str">
        <f>IF(G9&lt;&gt;"","B","-")</f>
        <v>-</v>
      </c>
      <c r="F9" s="241"/>
      <c r="G9" s="13"/>
      <c r="H9" s="237">
        <f>IF(G9="",0,VLOOKUP(G9,data!$B$17:$C$102,2,FALSE))</f>
        <v>0</v>
      </c>
      <c r="I9" s="238"/>
      <c r="J9" s="92" t="b">
        <f aca="true" t="shared" si="0" ref="J9:J14">IF(G9&gt;0,(COUNTIF($Z$17:$BD$45,E9)))</f>
        <v>0</v>
      </c>
      <c r="AE9" s="120"/>
    </row>
    <row r="10" spans="1:10" ht="12" customHeight="1">
      <c r="A10" s="12" t="str">
        <f>IF($B$6="BG","Входящ №","Reference №")</f>
        <v>Входящ №</v>
      </c>
      <c r="B10" s="22"/>
      <c r="C10" s="22"/>
      <c r="D10" s="22"/>
      <c r="E10" s="241" t="str">
        <f>IF(G10&lt;&gt;"","C","-")</f>
        <v>-</v>
      </c>
      <c r="F10" s="241"/>
      <c r="G10" s="13"/>
      <c r="H10" s="237">
        <f>IF(G10="",0,VLOOKUP(G10,data!$B$17:$C$102,2,FALSE))</f>
        <v>0</v>
      </c>
      <c r="I10" s="238"/>
      <c r="J10" s="92" t="b">
        <f t="shared" si="0"/>
        <v>0</v>
      </c>
    </row>
    <row r="11" spans="1:10" ht="12" customHeight="1">
      <c r="A11" s="12" t="str">
        <f>IF($B$6="BG","Кампания","Campaign")</f>
        <v>Кампания</v>
      </c>
      <c r="B11" s="22"/>
      <c r="C11" s="22"/>
      <c r="D11" s="22"/>
      <c r="E11" s="233" t="str">
        <f>IF(G11&lt;&gt;"","D","-")</f>
        <v>-</v>
      </c>
      <c r="F11" s="233"/>
      <c r="G11" s="13"/>
      <c r="H11" s="237">
        <f>IF(G11="",0,VLOOKUP(G11,data!$B$17:$C$102,2,FALSE))</f>
        <v>0</v>
      </c>
      <c r="I11" s="238"/>
      <c r="J11" s="92" t="b">
        <f t="shared" si="0"/>
        <v>0</v>
      </c>
    </row>
    <row r="12" spans="1:10" ht="12" customHeight="1">
      <c r="A12" s="12" t="str">
        <f>IF($B$6="BG","Клиент","Client")</f>
        <v>Клиент</v>
      </c>
      <c r="B12" s="22"/>
      <c r="C12" s="22"/>
      <c r="D12" s="22"/>
      <c r="E12" s="233" t="str">
        <f>IF(G12&lt;&gt;"","E","-")</f>
        <v>-</v>
      </c>
      <c r="F12" s="233"/>
      <c r="G12" s="13"/>
      <c r="H12" s="237">
        <f>IF(G12="",0,VLOOKUP(G12,data!$B$17:$C$102,2,FALSE))</f>
        <v>0</v>
      </c>
      <c r="I12" s="238"/>
      <c r="J12" s="92" t="b">
        <f t="shared" si="0"/>
        <v>0</v>
      </c>
    </row>
    <row r="13" spans="1:10" ht="12" customHeight="1">
      <c r="A13" s="12" t="str">
        <f>IF($B$6="BG","Период","Period")</f>
        <v>Период</v>
      </c>
      <c r="B13" s="23"/>
      <c r="C13" s="22"/>
      <c r="D13" s="22"/>
      <c r="E13" s="233" t="str">
        <f>IF(G13&lt;&gt;"","F","-")</f>
        <v>-</v>
      </c>
      <c r="F13" s="233"/>
      <c r="G13" s="13"/>
      <c r="H13" s="237">
        <f>IF(G13="",0,VLOOKUP(G13,data!$B$17:$C$102,2,FALSE))</f>
        <v>0</v>
      </c>
      <c r="I13" s="238"/>
      <c r="J13" s="92" t="b">
        <f t="shared" si="0"/>
        <v>0</v>
      </c>
    </row>
    <row r="14" spans="1:61" ht="12" customHeight="1">
      <c r="A14" s="12" t="str">
        <f>IF($B$6="BG","По договор","Contract №")</f>
        <v>По договор</v>
      </c>
      <c r="B14" s="22"/>
      <c r="C14" s="22"/>
      <c r="D14" s="22"/>
      <c r="E14" s="233" t="str">
        <f>IF(G14&lt;&gt;"","G","-")</f>
        <v>-</v>
      </c>
      <c r="F14" s="233"/>
      <c r="G14" s="13"/>
      <c r="H14" s="237">
        <f>IF(G14="",0,VLOOKUP(G14,data!$B$17:$C$102,2,FALSE))</f>
        <v>0</v>
      </c>
      <c r="I14" s="238"/>
      <c r="J14" s="92" t="b">
        <f t="shared" si="0"/>
        <v>0</v>
      </c>
      <c r="BE14" s="25"/>
      <c r="BF14" s="25"/>
      <c r="BG14" s="25"/>
      <c r="BH14" s="25"/>
      <c r="BI14" s="25"/>
    </row>
    <row r="15" spans="1:61" ht="15" customHeight="1">
      <c r="A15" s="12" t="str">
        <f>IF($B$6="BG","Решение УС","Bord decision №")</f>
        <v>Решение УС</v>
      </c>
      <c r="B15" s="189"/>
      <c r="C15" s="190"/>
      <c r="D15" s="190"/>
      <c r="E15" s="190"/>
      <c r="F15" s="190"/>
      <c r="G15" s="190"/>
      <c r="H15" s="190"/>
      <c r="I15" s="190"/>
      <c r="J15" s="191"/>
      <c r="Z15" s="235" t="str">
        <f>IF($B$6="BG","Януари 2019","January 2019")</f>
        <v>Януари 2019</v>
      </c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36"/>
      <c r="BE15" s="25"/>
      <c r="BF15" s="25"/>
      <c r="BG15" s="25"/>
      <c r="BH15" s="25"/>
      <c r="BI15" s="25"/>
    </row>
    <row r="16" spans="1:71" ht="51.75" customHeight="1">
      <c r="A16" s="149" t="str">
        <f>IF($B$6="BG","Бележки","Notice")</f>
        <v>Бележки</v>
      </c>
      <c r="B16" s="149" t="str">
        <f>IF($B$6="BG","Програма","Program")</f>
        <v>Програма</v>
      </c>
      <c r="C16" s="149" t="str">
        <f>IF($B$6="BG","Ден","Day")</f>
        <v>Ден</v>
      </c>
      <c r="D16" s="149" t="str">
        <f>IF($B$6="BG","Час","Time")</f>
        <v>Час</v>
      </c>
      <c r="E16" s="149" t="str">
        <f>IF($B$6="BG","Ключ","Key")</f>
        <v>Ключ</v>
      </c>
      <c r="F16" s="149" t="str">
        <f>IF($B$6="BG","Часова зона","Day part")</f>
        <v>Часова зона</v>
      </c>
      <c r="G16" s="149" t="str">
        <f>IF($B$6="BG","Рекламна форма","TVC Type")</f>
        <v>Рекламна форма</v>
      </c>
      <c r="H16" s="149" t="str">
        <f>IF($B$6="BG","Цена за клип 30 сек.","30 sec Price")</f>
        <v>Цена за клип 30 сек.</v>
      </c>
      <c r="I16" s="149" t="str">
        <f>IF($B$6="BG","Брой","Count")</f>
        <v>Брой</v>
      </c>
      <c r="J16" s="149" t="str">
        <f>IF($B$6="BG","Общо цена","Total")</f>
        <v>Общо цена</v>
      </c>
      <c r="K16" s="149" t="s">
        <v>18</v>
      </c>
      <c r="L16" s="149" t="s">
        <v>19</v>
      </c>
      <c r="M16" s="149" t="s">
        <v>20</v>
      </c>
      <c r="N16" s="149" t="s">
        <v>25</v>
      </c>
      <c r="O16" s="149" t="s">
        <v>21</v>
      </c>
      <c r="P16" s="149" t="s">
        <v>26</v>
      </c>
      <c r="Q16" s="149" t="s">
        <v>22</v>
      </c>
      <c r="R16" s="149" t="s">
        <v>27</v>
      </c>
      <c r="S16" s="149" t="s">
        <v>23</v>
      </c>
      <c r="T16" s="149" t="s">
        <v>28</v>
      </c>
      <c r="U16" s="149" t="s">
        <v>24</v>
      </c>
      <c r="V16" s="149" t="s">
        <v>29</v>
      </c>
      <c r="W16" s="149" t="s">
        <v>65</v>
      </c>
      <c r="X16" s="149" t="s">
        <v>66</v>
      </c>
      <c r="Y16" s="149" t="s">
        <v>30</v>
      </c>
      <c r="Z16" s="171">
        <v>1</v>
      </c>
      <c r="AA16" s="171">
        <v>2</v>
      </c>
      <c r="AB16" s="171">
        <v>3</v>
      </c>
      <c r="AC16" s="171">
        <v>4</v>
      </c>
      <c r="AD16" s="146">
        <v>5</v>
      </c>
      <c r="AE16" s="146">
        <v>6</v>
      </c>
      <c r="AF16" s="171">
        <v>7</v>
      </c>
      <c r="AG16" s="171">
        <v>8</v>
      </c>
      <c r="AH16" s="171">
        <v>9</v>
      </c>
      <c r="AI16" s="171">
        <v>10</v>
      </c>
      <c r="AJ16" s="171">
        <v>11</v>
      </c>
      <c r="AK16" s="146">
        <v>12</v>
      </c>
      <c r="AL16" s="146">
        <v>13</v>
      </c>
      <c r="AM16" s="171">
        <v>14</v>
      </c>
      <c r="AN16" s="171">
        <v>15</v>
      </c>
      <c r="AO16" s="171">
        <v>16</v>
      </c>
      <c r="AP16" s="171">
        <v>17</v>
      </c>
      <c r="AQ16" s="171">
        <v>18</v>
      </c>
      <c r="AR16" s="146">
        <v>19</v>
      </c>
      <c r="AS16" s="146">
        <v>20</v>
      </c>
      <c r="AT16" s="171">
        <v>21</v>
      </c>
      <c r="AU16" s="171">
        <v>22</v>
      </c>
      <c r="AV16" s="171">
        <v>23</v>
      </c>
      <c r="AW16" s="171">
        <v>24</v>
      </c>
      <c r="AX16" s="171">
        <v>25</v>
      </c>
      <c r="AY16" s="146">
        <v>26</v>
      </c>
      <c r="AZ16" s="146">
        <v>27</v>
      </c>
      <c r="BA16" s="171">
        <v>28</v>
      </c>
      <c r="BB16" s="171">
        <v>29</v>
      </c>
      <c r="BC16" s="171">
        <v>30</v>
      </c>
      <c r="BD16" s="171">
        <v>31</v>
      </c>
      <c r="BE16" s="150" t="str">
        <f>IF($B$6="BG","Утежнение за позиция в блок/две реклами в блок","Surcharge in the block/two ad unit")</f>
        <v>Утежнение за позиция в блок/две реклами в блок</v>
      </c>
      <c r="BF16" s="150" t="str">
        <f>IF($B$6="BG","Утежнение за съвместна реклама","Co-Ad surcharge")</f>
        <v>Утежнение за съвместна реклама</v>
      </c>
      <c r="BG16" s="150" t="s">
        <v>45</v>
      </c>
      <c r="BH16" s="150" t="str">
        <f>IF($B$6="BG","Цена за клип/СЗ/ПР без утежнения","Price for spot/ST/PR without surcharge")</f>
        <v>Цена за клип/СЗ/ПР без утежнения</v>
      </c>
      <c r="BI16" s="150" t="str">
        <f>IF($B$6="BG","Цена с утежнения за позиция и марка","Price with surcharge for Position and Brand")</f>
        <v>Цена с утежнения за позиция и марка</v>
      </c>
      <c r="BJ16" s="150" t="str">
        <f>IF($B$6="BG","Утежнения за позиция и марка","Price surcharge for Position and Brand")</f>
        <v>Утежнения за позиция и марка</v>
      </c>
      <c r="BK16" s="150" t="str">
        <f>IF($B$6="BG","Утежнения закъснение","Surcharge for Delay")</f>
        <v>Утежнения закъснение</v>
      </c>
      <c r="BL16" s="150" t="str">
        <f>IF($B$6="BG","Общо утежнение","Total Surcharge")</f>
        <v>Общо утежнение</v>
      </c>
      <c r="BN16" s="20" t="s">
        <v>0</v>
      </c>
      <c r="BO16" s="20" t="s">
        <v>1</v>
      </c>
      <c r="BP16" s="20" t="s">
        <v>2</v>
      </c>
      <c r="BQ16" s="20" t="s">
        <v>3</v>
      </c>
      <c r="BR16" s="20" t="s">
        <v>4</v>
      </c>
      <c r="BS16" s="20" t="s">
        <v>5</v>
      </c>
    </row>
    <row r="17" spans="1:71" ht="12.75" customHeight="1">
      <c r="A17" s="1"/>
      <c r="B17" s="2"/>
      <c r="C17" s="3"/>
      <c r="D17" s="4"/>
      <c r="E17" s="5">
        <f>IF(D17="","",ABS(LEFT(D17,2)))</f>
      </c>
      <c r="F17" s="5">
        <f aca="true" t="shared" si="1" ref="F17:F45">IF(D17="","",IF((E17&gt;=19)*(E17&lt;22),"PT","OPT"))</f>
      </c>
      <c r="G17" s="135"/>
      <c r="H17" s="6">
        <f>IF(OR(C17=0,D17=0),"",VLOOKUP(C17,data!$J$54:$S$54,VLOOKUP(D17,data!$R$4:$S$12,2,FALSE)))</f>
      </c>
      <c r="I17" s="90">
        <f>COUNTA(Z17:BD17)</f>
        <v>0</v>
      </c>
      <c r="J17" s="6">
        <f>IF(D17="",0,(K17*L17+M17*N17+O17*P17+Q17*R17+S17*T17+U17*V17+W17*X17)*Y17)</f>
        <v>0</v>
      </c>
      <c r="K17" s="14" t="b">
        <f>IF($C$8="Да/Yes",0,IF(AND(G17="Spons tag",$G$8&lt;=10),H17/2,IF(G17="Spot",$H$8*H17,IF(G17="Paid report",H17*$G$8*1*2/60,IF(AND(G17="Cut-in",$G$8&lt;=10),H17*0.7,IF(G17="Break ID with VO 7+7",H17*1.2,IF(AND(G17="Spons promo",$G$8&lt;=10),H17/2,IF(G17="Break ID 7+7",H17))))))))</f>
        <v>0</v>
      </c>
      <c r="L17" s="134">
        <f>COUNTIF(Z17:BD17,$E$8)</f>
        <v>0</v>
      </c>
      <c r="M17" s="14" t="b">
        <f>IF($C$9="Да/Yes",0,IF(AND(G17="Spons tag",$G$9&lt;=10),H17/2,IF(G17="Spot",$H$9*H17,IF(G17="Paid report",H17*$G$9*1*2/60,IF(AND(G17="Cut-in",$G$9&lt;=10),H17*0.7,IF(G17="Break ID with VO 7+7",H17*1.2,IF(AND(G17="Spons promo",$G$9&lt;=10),H17/2,IF(G17="Break ID 7+7",H17))))))))</f>
        <v>0</v>
      </c>
      <c r="N17" s="134">
        <f>COUNTIF(Z17:BD17,$E$9)</f>
        <v>0</v>
      </c>
      <c r="O17" s="14" t="b">
        <f>IF($C$10="Да/Yes",0,IF(AND(G17="Spons tag",$G$10&lt;=10),H17/2,IF(G17="Spot",$H$10*H17,IF(G17="Paid report",H17*$G$10*1*2/60,IF(AND(G17="Cut-in",$G$10&lt;=10),H17*0.7,IF(G17="Break ID with VO 7+7",H17*1.2,IF(AND(G17="Spons promo",$G$10&lt;=10),H17/2,IF(G17="Break ID 7+7",H17))))))))</f>
        <v>0</v>
      </c>
      <c r="P17" s="134">
        <f>COUNTIF(Z17:BD17,$E$10)</f>
        <v>0</v>
      </c>
      <c r="Q17" s="14" t="b">
        <f>IF($C$11="Да/Yes",0,IF(AND(G17="Spons tag",$G$11&lt;=10),H17/2,IF(G17="Spot",$H$11*H17,IF(G17="Paid report",H17*$G$11*1*2/60,IF(AND(G17="Cut-in",$G$11&lt;=10),H17*0.7,IF(G17="Break ID with VO 7+7",H17*1.2,IF(AND(G17="Spons promo",$G$11&lt;=10),H17/2,IF(G17="Break ID 7+7",H17))))))))</f>
        <v>0</v>
      </c>
      <c r="R17" s="134">
        <f>COUNTIF(Z17:BD17,$E$11)</f>
        <v>0</v>
      </c>
      <c r="S17" s="14" t="b">
        <f>IF($C$12="Да/Yes",0,IF(AND(G17="Spons tag",$G$12&lt;=10),H17/2,IF(G17="Spot",$H$12*H17,IF(G17="Paid report",H17*$G$12*1*2/60,IF(AND(G17="Cut-in",$G$12&lt;=10),H17*0.7,IF(G17="Break ID with VO 7+7",H17*1.2,IF(AND(G17="Spons promo",$G$12&lt;=10),H17/2,IF(G17="Break ID 7+7",H17))))))))</f>
        <v>0</v>
      </c>
      <c r="T17" s="134">
        <f>COUNTIF(Z17:BD17,$E$12)</f>
        <v>0</v>
      </c>
      <c r="U17" s="14" t="b">
        <f>IF($C$13="Да/Yes",0,IF(AND(G17="Spons tag",$G$13&lt;=10),H17/2,IF(G17="Spot",$H$13*H17,IF(G17="Paid report",H17*$G$13*1*2/60,IF(AND(G17="Cut-in",$G$13&lt;=10),H17*0.7,IF(G17="Break ID with VO 7+7",H17*1.2,IF(AND(G17="Spons promo",$G$13&lt;=10),H17/2,IF(G17="Break ID 7+7",H17))))))))</f>
        <v>0</v>
      </c>
      <c r="V17" s="134">
        <f>COUNTIF(Z17:BD17,$E$13)</f>
        <v>0</v>
      </c>
      <c r="W17" s="14" t="b">
        <f>IF($C$14="Да/Yes",0,IF(AND(G17="Spons tag",$G$14&lt;=10),H17/2,IF(G17="Spot",$H$14*H17,IF(G17="Paid report",H17*$G$14*1*2/60,IF(AND(G17="Cut-in",$G$14&lt;=10),H17*0.7,IF(G17="Break ID with VO 7+7",H17*1.2,IF(AND(G17="Spons promo",$G$14&lt;=10),H17/2,IF(G17="Break ID 7+7",H17))))))))</f>
        <v>0</v>
      </c>
      <c r="X17" s="134">
        <f>COUNTIF(Z17:BD17,$E$14)</f>
        <v>0</v>
      </c>
      <c r="Y17" s="15">
        <f>IF(BE17="",1,VLOOKUP(BE17,data!$C$3:$D$12,2,FALSE))*(1+BF17)</f>
        <v>1</v>
      </c>
      <c r="Z17" s="86"/>
      <c r="AA17" s="86"/>
      <c r="AB17" s="86"/>
      <c r="AC17" s="86"/>
      <c r="AD17" s="149"/>
      <c r="AE17" s="149"/>
      <c r="AF17" s="86"/>
      <c r="AG17" s="86"/>
      <c r="AH17" s="86"/>
      <c r="AI17" s="86"/>
      <c r="AJ17" s="86"/>
      <c r="AK17" s="149"/>
      <c r="AL17" s="149"/>
      <c r="AM17" s="86"/>
      <c r="AN17" s="86"/>
      <c r="AO17" s="86"/>
      <c r="AP17" s="86"/>
      <c r="AQ17" s="86"/>
      <c r="AR17" s="149"/>
      <c r="AS17" s="149"/>
      <c r="AT17" s="86"/>
      <c r="AU17" s="86"/>
      <c r="AV17" s="86"/>
      <c r="AW17" s="86"/>
      <c r="AX17" s="86"/>
      <c r="AY17" s="149"/>
      <c r="AZ17" s="149"/>
      <c r="BA17" s="86"/>
      <c r="BB17" s="86"/>
      <c r="BC17" s="86"/>
      <c r="BD17" s="86"/>
      <c r="BE17" s="7"/>
      <c r="BF17" s="8"/>
      <c r="BG17" s="8"/>
      <c r="BH17" s="6">
        <f>IF(I17=0,0,(K17*L17+M17*N17+O17*P17+Q17*R17+S17*T17+U17*V17+W17*X17)/I17)</f>
        <v>0</v>
      </c>
      <c r="BI17" s="6">
        <f>IF(I17=0,0,J17/I17)</f>
        <v>0</v>
      </c>
      <c r="BJ17" s="6">
        <f>IF((BI17-BH17)&gt;0,(BI17-BH17)*I17,0)</f>
        <v>0</v>
      </c>
      <c r="BK17" s="6">
        <f aca="true" t="shared" si="2" ref="BK17:BK45">BG17*BI17</f>
        <v>0</v>
      </c>
      <c r="BL17" s="6">
        <f aca="true" t="shared" si="3" ref="BL17:BL45">BJ17+BK17</f>
        <v>0</v>
      </c>
      <c r="BN17" s="26">
        <f>((COUNTIF(Z17:AE17,"A")*K17)+(COUNTIF(Y17:AE17,"B")*M17)+(COUNTIF(Y17:AE17,"C")*O17)+(COUNTIF(Y17:AE17,"D")*Q17)+(COUNTIF(Y17:AE17,"E")*S17)+(COUNTIF(Y17:AE17,"F")*U17)+(COUNTIF(Y17:AE17,"G")*W17))*Y17</f>
        <v>0</v>
      </c>
      <c r="BO17" s="26">
        <f>((COUNTIF(AF17:AL17,"A")*K17)+(COUNTIF(AF17:AL17,"B")*M17)+(COUNTIF(AF17:AL17,"C")*O17)+(COUNTIF(AF17:AL17,"D")*Q17)+(COUNTIF(AF17:AL17,"E")*S17)+(COUNTIF(AF17:AL17,"F")*U17)+(COUNTIF(AF17:AL17,"G")*W17))*Y17</f>
        <v>0</v>
      </c>
      <c r="BP17" s="26">
        <f>((COUNTIF(AM17:AS17,"A")*K17)+(COUNTIF(AM17:AS17,"B")*M17)+(COUNTIF(AM17:AS17,"C")*O17)+(COUNTIF(AM17:AS17,"D")*Q17)+(COUNTIF(AM17:AS17,"E")*S17)+(COUNTIF(AM17:AS17,"F")*U17)+(COUNTIF(AM17:AS17,"G")*W17))*Y17</f>
        <v>0</v>
      </c>
      <c r="BQ17" s="26">
        <f>((COUNTIF(AT17:AZ17,"A")*K17)+(COUNTIF(AT17:AZ17,"B")*M17)+(COUNTIF(AT17:AZ17,"C")*O17)+(COUNTIF(AT17:AZ17,"D")*Q17)+(COUNTIF(AT17:AZ17,"E")*S17)+(COUNTIF(AT17:AZ17,"F")*U17)+(COUNTIF(AT17:AZ17,"G")*W17))*Y17</f>
        <v>0</v>
      </c>
      <c r="BR17" s="26">
        <f>((COUNTIF(BA17:BD17,"A")*K17)+(COUNTIF(BA17:BD17,"B")*M17)+(COUNTIF(BA17:BE17,"C")*O17)+(COUNTIF(BA17:BD17,"D")*Q17)+(COUNTIF(BA17:BD17,"E")*S17)+(COUNTIF(BA17:BD17,"F")*U17)+(COUNTIF(BA17:BD17,"G")*W17))*Y17</f>
        <v>0</v>
      </c>
      <c r="BS17" s="26">
        <f>((COUNTIF(BD17,"A")*K17)+(COUNTIF(BD17,"B")*M17)+(COUNTIF(BD17,"C")*O17)+(COUNTIF(BD17,"D")*Q17)+(COUNTIF(BD17,"E")*S17)+(COUNTIF(BD17,"F")*U17)+(COUNTIF(BD17,"G")*W17))*Y17</f>
        <v>0</v>
      </c>
    </row>
    <row r="18" spans="1:71" ht="12.75" customHeight="1">
      <c r="A18" s="1"/>
      <c r="B18" s="2"/>
      <c r="C18" s="3"/>
      <c r="D18" s="4"/>
      <c r="E18" s="5">
        <f aca="true" t="shared" si="4" ref="E18:E45">IF(D18="","",ABS(LEFT(D18,2)))</f>
      </c>
      <c r="F18" s="5">
        <f t="shared" si="1"/>
      </c>
      <c r="G18" s="135"/>
      <c r="H18" s="6">
        <f>IF(OR(C18=0,D18=0),"",VLOOKUP(C18,data!$J$54:$S$54,VLOOKUP(D18,data!$R$4:$S$12,2,FALSE)))</f>
      </c>
      <c r="I18" s="90">
        <f aca="true" t="shared" si="5" ref="I18:I45">COUNTA(Z18:BD18)</f>
        <v>0</v>
      </c>
      <c r="J18" s="6">
        <f aca="true" t="shared" si="6" ref="J18:J45">IF(D18="",0,(K18*L18+M18*N18+O18*P18+Q18*R18+S18*T18+U18*V18+W18*X18)*Y18)</f>
        <v>0</v>
      </c>
      <c r="K18" s="14" t="b">
        <f aca="true" t="shared" si="7" ref="K18:K45">IF($C$8="Да/Yes",0,IF(AND(G18="Spons tag",$G$8&lt;=10),H18/2,IF(G18="Spot",$H$8*H18,IF(G18="Paid report",H18*$G$8*1*2/60,IF(AND(G18="Cut-in",$G$8&lt;=10),H18*0.7,IF(G18="Break ID with VO 7+7",H18*1.2,IF(AND(G18="Spons promo",$G$8&lt;=10),H18/2,IF(G18="Break ID 7+7",H18))))))))</f>
        <v>0</v>
      </c>
      <c r="L18" s="134">
        <f aca="true" t="shared" si="8" ref="L18:L45">COUNTIF(Z18:BD18,$E$8)</f>
        <v>0</v>
      </c>
      <c r="M18" s="14" t="b">
        <f aca="true" t="shared" si="9" ref="M18:M45">IF($C$9="Да/Yes",0,IF(AND(G18="Spons tag",$G$9&lt;=10),H18/2,IF(G18="Spot",$H$9*H18,IF(G18="Paid report",H18*$G$9*1*2/60,IF(AND(G18="Cut-in",$G$9&lt;=10),H18*0.7,IF(G18="Break ID with VO 7+7",H18*1.2,IF(AND(G18="Spons promo",$G$9&lt;=10),H18/2,IF(G18="Break ID 7+7",H18))))))))</f>
        <v>0</v>
      </c>
      <c r="N18" s="134">
        <f aca="true" t="shared" si="10" ref="N18:N45">COUNTIF(Z18:BD18,$E$9)</f>
        <v>0</v>
      </c>
      <c r="O18" s="14" t="b">
        <f aca="true" t="shared" si="11" ref="O18:O45">IF($C$10="Да/Yes",0,IF(AND(G18="Spons tag",$G$10&lt;=10),H18/2,IF(G18="Spot",$H$10*H18,IF(G18="Paid report",H18*$G$10*1*2/60,IF(AND(G18="Cut-in",$G$10&lt;=10),H18*0.7,IF(G18="Break ID with VO 7+7",H18*1.2,IF(AND(G18="Spons promo",$G$10&lt;=10),H18/2,IF(G18="Break ID 7+7",H18))))))))</f>
        <v>0</v>
      </c>
      <c r="P18" s="134">
        <f aca="true" t="shared" si="12" ref="P18:P45">COUNTIF(Z18:BD18,$E$10)</f>
        <v>0</v>
      </c>
      <c r="Q18" s="14" t="b">
        <f aca="true" t="shared" si="13" ref="Q18:Q45">IF($C$11="Да/Yes",0,IF(AND(G18="Spons tag",$G$11&lt;=10),H18/2,IF(G18="Spot",$H$11*H18,IF(G18="Paid report",H18*$G$11*1*2/60,IF(AND(G18="Cut-in",$G$11&lt;=10),H18*0.7,IF(G18="Break ID with VO 7+7",H18*1.2,IF(AND(G18="Spons promo",$G$11&lt;=10),H18/2,IF(G18="Break ID 7+7",H18))))))))</f>
        <v>0</v>
      </c>
      <c r="R18" s="134">
        <f aca="true" t="shared" si="14" ref="R18:R45">COUNTIF(Z18:BD18,$E$11)</f>
        <v>0</v>
      </c>
      <c r="S18" s="14" t="b">
        <f aca="true" t="shared" si="15" ref="S18:S45">IF($C$12="Да/Yes",0,IF(AND(G18="Spons tag",$G$12&lt;=10),H18/2,IF(G18="Spot",$H$12*H18,IF(G18="Paid report",H18*$G$12*1*2/60,IF(AND(G18="Cut-in",$G$12&lt;=10),H18*0.7,IF(G18="Break ID with VO 7+7",H18*1.2,IF(AND(G18="Spons promo",$G$12&lt;=10),H18/2,IF(G18="Break ID 7+7",H18))))))))</f>
        <v>0</v>
      </c>
      <c r="T18" s="134">
        <f aca="true" t="shared" si="16" ref="T18:T45">COUNTIF(Z18:BD18,$E$12)</f>
        <v>0</v>
      </c>
      <c r="U18" s="14" t="b">
        <f aca="true" t="shared" si="17" ref="U18:U45">IF($C$13="Да/Yes",0,IF(AND(G18="Spons tag",$G$13&lt;=10),H18/2,IF(G18="Spot",$H$13*H18,IF(G18="Paid report",H18*$G$13*1*2/60,IF(AND(G18="Cut-in",$G$13&lt;=10),H18*0.7,IF(G18="Break ID with VO 7+7",H18*1.2,IF(AND(G18="Spons promo",$G$13&lt;=10),H18/2,IF(G18="Break ID 7+7",H18))))))))</f>
        <v>0</v>
      </c>
      <c r="V18" s="134">
        <f aca="true" t="shared" si="18" ref="V18:V45">COUNTIF(Z18:BD18,$E$13)</f>
        <v>0</v>
      </c>
      <c r="W18" s="14" t="b">
        <f aca="true" t="shared" si="19" ref="W18:W45">IF($C$14="Да/Yes",0,IF(AND(G18="Spons tag",$G$14&lt;=10),H18/2,IF(G18="Spot",$H$14*H18,IF(G18="Paid report",H18*$G$14*1*2/60,IF(AND(G18="Cut-in",$G$14&lt;=10),H18*0.7,IF(G18="Break ID with VO 7+7",H18*1.2,IF(AND(G18="Spons promo",$G$14&lt;=10),H18/2,IF(G18="Break ID 7+7",H18))))))))</f>
        <v>0</v>
      </c>
      <c r="X18" s="134">
        <f aca="true" t="shared" si="20" ref="X18:X45">COUNTIF(Z18:BD18,$E$14)</f>
        <v>0</v>
      </c>
      <c r="Y18" s="183">
        <f>IF(BE18="",1,VLOOKUP(BE18,data!$C$3:$D$10,2,FALSE))*(1+BF18)</f>
        <v>1</v>
      </c>
      <c r="Z18" s="86"/>
      <c r="AA18" s="86"/>
      <c r="AB18" s="86"/>
      <c r="AC18" s="86"/>
      <c r="AD18" s="149"/>
      <c r="AE18" s="149"/>
      <c r="AF18" s="86"/>
      <c r="AG18" s="86"/>
      <c r="AH18" s="86"/>
      <c r="AI18" s="86"/>
      <c r="AJ18" s="86"/>
      <c r="AK18" s="149"/>
      <c r="AL18" s="149"/>
      <c r="AM18" s="86"/>
      <c r="AN18" s="86"/>
      <c r="AO18" s="86"/>
      <c r="AP18" s="86"/>
      <c r="AQ18" s="86"/>
      <c r="AR18" s="149"/>
      <c r="AS18" s="149"/>
      <c r="AT18" s="86"/>
      <c r="AU18" s="86"/>
      <c r="AV18" s="86"/>
      <c r="AW18" s="86"/>
      <c r="AX18" s="86"/>
      <c r="AY18" s="149"/>
      <c r="AZ18" s="149"/>
      <c r="BA18" s="86"/>
      <c r="BB18" s="86"/>
      <c r="BC18" s="86"/>
      <c r="BD18" s="86"/>
      <c r="BE18" s="7"/>
      <c r="BF18" s="8"/>
      <c r="BG18" s="8"/>
      <c r="BH18" s="6">
        <f aca="true" t="shared" si="21" ref="BH18:BH45">IF(I18=0,0,(K18*L18+M18*N18+O18*P18+Q18*R18+S18*T18+U18*V18+W18*X18)/I18)</f>
        <v>0</v>
      </c>
      <c r="BI18" s="6">
        <f aca="true" t="shared" si="22" ref="BI18:BI45">IF(I18=0,0,J18/I18)</f>
        <v>0</v>
      </c>
      <c r="BJ18" s="6">
        <f aca="true" t="shared" si="23" ref="BJ18:BJ45">IF((BI18-BH18)&gt;0,(BI18-BH18)*I18,0)</f>
        <v>0</v>
      </c>
      <c r="BK18" s="6">
        <f t="shared" si="2"/>
        <v>0</v>
      </c>
      <c r="BL18" s="6">
        <f t="shared" si="3"/>
        <v>0</v>
      </c>
      <c r="BN18" s="26">
        <f aca="true" t="shared" si="24" ref="BN18:BN45">((COUNTIF(Z18:AE18,"A")*K18)+(COUNTIF(Y18:AE18,"B")*M18)+(COUNTIF(Y18:AE18,"C")*O18)+(COUNTIF(Y18:AE18,"D")*Q18)+(COUNTIF(Y18:AE18,"E")*S18)+(COUNTIF(Y18:AE18,"F")*U18)+(COUNTIF(Y18:AE18,"G")*W18))*Y18</f>
        <v>0</v>
      </c>
      <c r="BO18" s="26">
        <f aca="true" t="shared" si="25" ref="BO18:BO45">((COUNTIF(AF18:AL18,"A")*K18)+(COUNTIF(AF18:AL18,"B")*M18)+(COUNTIF(AF18:AL18,"C")*O18)+(COUNTIF(AF18:AL18,"D")*Q18)+(COUNTIF(AF18:AL18,"E")*S18)+(COUNTIF(AF18:AL18,"F")*U18)+(COUNTIF(AF18:AL18,"G")*W18))*Y18</f>
        <v>0</v>
      </c>
      <c r="BP18" s="26">
        <f aca="true" t="shared" si="26" ref="BP18:BP45">((COUNTIF(AM18:AS18,"A")*K18)+(COUNTIF(AM18:AS18,"B")*M18)+(COUNTIF(AM18:AS18,"C")*O18)+(COUNTIF(AM18:AS18,"D")*Q18)+(COUNTIF(AM18:AS18,"E")*S18)+(COUNTIF(AM18:AS18,"F")*U18)+(COUNTIF(AM18:AS18,"G")*W18))*Y18</f>
        <v>0</v>
      </c>
      <c r="BQ18" s="26">
        <f aca="true" t="shared" si="27" ref="BQ18:BQ45">((COUNTIF(AT18:AZ18,"A")*K18)+(COUNTIF(AT18:AZ18,"B")*M18)+(COUNTIF(AT18:AZ18,"C")*O18)+(COUNTIF(AT18:AZ18,"D")*Q18)+(COUNTIF(AT18:AZ18,"E")*S18)+(COUNTIF(AT18:AZ18,"F")*U18)+(COUNTIF(AT18:AZ18,"G")*W18))*Y18</f>
        <v>0</v>
      </c>
      <c r="BR18" s="26">
        <f aca="true" t="shared" si="28" ref="BR18:BR45">((COUNTIF(BA18:BD18,"A")*K18)+(COUNTIF(BA18:BD18,"B")*M18)+(COUNTIF(BA18:BE18,"C")*O18)+(COUNTIF(BA18:BD18,"D")*Q18)+(COUNTIF(BA18:BD18,"E")*S18)+(COUNTIF(BA18:BD18,"F")*U18)+(COUNTIF(BA18:BD18,"G")*W18))*Y18</f>
        <v>0</v>
      </c>
      <c r="BS18" s="26">
        <f aca="true" t="shared" si="29" ref="BS18:BS45">((COUNTIF(BD18,"A")*K18)+(COUNTIF(BD18,"B")*M18)+(COUNTIF(BD18,"C")*O18)+(COUNTIF(BD18,"D")*Q18)+(COUNTIF(BD18,"E")*S18)+(COUNTIF(BD18,"F")*U18)+(COUNTIF(BD18,"G")*W18))*Y18</f>
        <v>0</v>
      </c>
    </row>
    <row r="19" spans="1:71" ht="12.75" customHeight="1">
      <c r="A19" s="1"/>
      <c r="B19" s="2"/>
      <c r="C19" s="3"/>
      <c r="D19" s="4"/>
      <c r="E19" s="5">
        <f t="shared" si="4"/>
      </c>
      <c r="F19" s="5">
        <f t="shared" si="1"/>
      </c>
      <c r="G19" s="135"/>
      <c r="H19" s="6">
        <f>IF(OR(C19=0,D19=0),"",VLOOKUP(C19,data!$J$54:$S$54,VLOOKUP(D19,data!$R$4:$S$12,2,FALSE)))</f>
      </c>
      <c r="I19" s="90">
        <f t="shared" si="5"/>
        <v>0</v>
      </c>
      <c r="J19" s="6">
        <f t="shared" si="6"/>
        <v>0</v>
      </c>
      <c r="K19" s="14" t="b">
        <f t="shared" si="7"/>
        <v>0</v>
      </c>
      <c r="L19" s="134">
        <f t="shared" si="8"/>
        <v>0</v>
      </c>
      <c r="M19" s="14" t="b">
        <f t="shared" si="9"/>
        <v>0</v>
      </c>
      <c r="N19" s="134">
        <f t="shared" si="10"/>
        <v>0</v>
      </c>
      <c r="O19" s="14" t="b">
        <f t="shared" si="11"/>
        <v>0</v>
      </c>
      <c r="P19" s="134">
        <f t="shared" si="12"/>
        <v>0</v>
      </c>
      <c r="Q19" s="14" t="b">
        <f t="shared" si="13"/>
        <v>0</v>
      </c>
      <c r="R19" s="134">
        <f t="shared" si="14"/>
        <v>0</v>
      </c>
      <c r="S19" s="14" t="b">
        <f t="shared" si="15"/>
        <v>0</v>
      </c>
      <c r="T19" s="134">
        <f t="shared" si="16"/>
        <v>0</v>
      </c>
      <c r="U19" s="14" t="b">
        <f t="shared" si="17"/>
        <v>0</v>
      </c>
      <c r="V19" s="134">
        <f t="shared" si="18"/>
        <v>0</v>
      </c>
      <c r="W19" s="14" t="b">
        <f t="shared" si="19"/>
        <v>0</v>
      </c>
      <c r="X19" s="134">
        <f t="shared" si="20"/>
        <v>0</v>
      </c>
      <c r="Y19" s="183">
        <f>IF(BE19="",1,VLOOKUP(BE19,data!$C$3:$D$10,2,FALSE))*(1+BF19)</f>
        <v>1</v>
      </c>
      <c r="Z19" s="86"/>
      <c r="AA19" s="86"/>
      <c r="AB19" s="86"/>
      <c r="AC19" s="86"/>
      <c r="AD19" s="149"/>
      <c r="AE19" s="149"/>
      <c r="AF19" s="86"/>
      <c r="AG19" s="86"/>
      <c r="AH19" s="86"/>
      <c r="AI19" s="86"/>
      <c r="AJ19" s="86"/>
      <c r="AK19" s="149"/>
      <c r="AL19" s="149"/>
      <c r="AM19" s="86"/>
      <c r="AN19" s="86"/>
      <c r="AO19" s="86"/>
      <c r="AP19" s="86"/>
      <c r="AQ19" s="86"/>
      <c r="AR19" s="149"/>
      <c r="AS19" s="149"/>
      <c r="AT19" s="86"/>
      <c r="AU19" s="86"/>
      <c r="AV19" s="86"/>
      <c r="AW19" s="86"/>
      <c r="AX19" s="86"/>
      <c r="AY19" s="149"/>
      <c r="AZ19" s="149"/>
      <c r="BA19" s="86"/>
      <c r="BB19" s="86"/>
      <c r="BC19" s="86"/>
      <c r="BD19" s="86"/>
      <c r="BE19" s="7"/>
      <c r="BF19" s="8"/>
      <c r="BG19" s="8"/>
      <c r="BH19" s="6">
        <f t="shared" si="21"/>
        <v>0</v>
      </c>
      <c r="BI19" s="6">
        <f t="shared" si="22"/>
        <v>0</v>
      </c>
      <c r="BJ19" s="6">
        <f t="shared" si="23"/>
        <v>0</v>
      </c>
      <c r="BK19" s="6">
        <f t="shared" si="2"/>
        <v>0</v>
      </c>
      <c r="BL19" s="6">
        <f t="shared" si="3"/>
        <v>0</v>
      </c>
      <c r="BN19" s="26">
        <f t="shared" si="24"/>
        <v>0</v>
      </c>
      <c r="BO19" s="26">
        <f t="shared" si="25"/>
        <v>0</v>
      </c>
      <c r="BP19" s="26">
        <f t="shared" si="26"/>
        <v>0</v>
      </c>
      <c r="BQ19" s="26">
        <f t="shared" si="27"/>
        <v>0</v>
      </c>
      <c r="BR19" s="26">
        <f t="shared" si="28"/>
        <v>0</v>
      </c>
      <c r="BS19" s="26">
        <f t="shared" si="29"/>
        <v>0</v>
      </c>
    </row>
    <row r="20" spans="1:71" ht="12.75" customHeight="1">
      <c r="A20" s="1"/>
      <c r="B20" s="2"/>
      <c r="C20" s="3"/>
      <c r="D20" s="4"/>
      <c r="E20" s="5">
        <f t="shared" si="4"/>
      </c>
      <c r="F20" s="5">
        <f t="shared" si="1"/>
      </c>
      <c r="G20" s="135"/>
      <c r="H20" s="6">
        <f>IF(OR(C20=0,D20=0),"",VLOOKUP(C20,data!$J$54:$S$54,VLOOKUP(D20,data!$R$4:$S$12,2,FALSE)))</f>
      </c>
      <c r="I20" s="90">
        <f t="shared" si="5"/>
        <v>0</v>
      </c>
      <c r="J20" s="6">
        <f t="shared" si="6"/>
        <v>0</v>
      </c>
      <c r="K20" s="14" t="b">
        <f t="shared" si="7"/>
        <v>0</v>
      </c>
      <c r="L20" s="134">
        <f t="shared" si="8"/>
        <v>0</v>
      </c>
      <c r="M20" s="14" t="b">
        <f t="shared" si="9"/>
        <v>0</v>
      </c>
      <c r="N20" s="134">
        <f t="shared" si="10"/>
        <v>0</v>
      </c>
      <c r="O20" s="14" t="b">
        <f t="shared" si="11"/>
        <v>0</v>
      </c>
      <c r="P20" s="134">
        <f t="shared" si="12"/>
        <v>0</v>
      </c>
      <c r="Q20" s="14" t="b">
        <f t="shared" si="13"/>
        <v>0</v>
      </c>
      <c r="R20" s="134">
        <f t="shared" si="14"/>
        <v>0</v>
      </c>
      <c r="S20" s="14" t="b">
        <f t="shared" si="15"/>
        <v>0</v>
      </c>
      <c r="T20" s="134">
        <f t="shared" si="16"/>
        <v>0</v>
      </c>
      <c r="U20" s="14" t="b">
        <f t="shared" si="17"/>
        <v>0</v>
      </c>
      <c r="V20" s="134">
        <f t="shared" si="18"/>
        <v>0</v>
      </c>
      <c r="W20" s="14" t="b">
        <f t="shared" si="19"/>
        <v>0</v>
      </c>
      <c r="X20" s="134">
        <f t="shared" si="20"/>
        <v>0</v>
      </c>
      <c r="Y20" s="183">
        <f>IF(BE20="",1,VLOOKUP(BE20,data!$C$3:$D$10,2,FALSE))*(1+BF20)</f>
        <v>1</v>
      </c>
      <c r="Z20" s="86"/>
      <c r="AA20" s="86"/>
      <c r="AB20" s="86"/>
      <c r="AC20" s="86"/>
      <c r="AD20" s="149"/>
      <c r="AE20" s="149"/>
      <c r="AF20" s="86"/>
      <c r="AG20" s="86"/>
      <c r="AH20" s="86"/>
      <c r="AI20" s="86"/>
      <c r="AJ20" s="86"/>
      <c r="AK20" s="149"/>
      <c r="AL20" s="149"/>
      <c r="AM20" s="86"/>
      <c r="AN20" s="86"/>
      <c r="AO20" s="86"/>
      <c r="AP20" s="86"/>
      <c r="AQ20" s="86"/>
      <c r="AR20" s="149"/>
      <c r="AS20" s="149"/>
      <c r="AT20" s="86"/>
      <c r="AU20" s="86"/>
      <c r="AV20" s="86"/>
      <c r="AW20" s="86"/>
      <c r="AX20" s="86"/>
      <c r="AY20" s="149"/>
      <c r="AZ20" s="149"/>
      <c r="BA20" s="86"/>
      <c r="BB20" s="86"/>
      <c r="BC20" s="86"/>
      <c r="BD20" s="86"/>
      <c r="BE20" s="7"/>
      <c r="BF20" s="8"/>
      <c r="BG20" s="8"/>
      <c r="BH20" s="6">
        <f t="shared" si="21"/>
        <v>0</v>
      </c>
      <c r="BI20" s="6">
        <f t="shared" si="22"/>
        <v>0</v>
      </c>
      <c r="BJ20" s="6">
        <f t="shared" si="23"/>
        <v>0</v>
      </c>
      <c r="BK20" s="6">
        <f t="shared" si="2"/>
        <v>0</v>
      </c>
      <c r="BL20" s="6">
        <f t="shared" si="3"/>
        <v>0</v>
      </c>
      <c r="BN20" s="26">
        <f t="shared" si="24"/>
        <v>0</v>
      </c>
      <c r="BO20" s="26">
        <f t="shared" si="25"/>
        <v>0</v>
      </c>
      <c r="BP20" s="26">
        <f t="shared" si="26"/>
        <v>0</v>
      </c>
      <c r="BQ20" s="26">
        <f t="shared" si="27"/>
        <v>0</v>
      </c>
      <c r="BR20" s="26">
        <f t="shared" si="28"/>
        <v>0</v>
      </c>
      <c r="BS20" s="26">
        <f t="shared" si="29"/>
        <v>0</v>
      </c>
    </row>
    <row r="21" spans="1:71" ht="12.75" customHeight="1">
      <c r="A21" s="1"/>
      <c r="B21" s="2"/>
      <c r="C21" s="3"/>
      <c r="D21" s="4"/>
      <c r="E21" s="5">
        <f t="shared" si="4"/>
      </c>
      <c r="F21" s="5">
        <f t="shared" si="1"/>
      </c>
      <c r="G21" s="135"/>
      <c r="H21" s="6">
        <f>IF(OR(C21=0,D21=0),"",VLOOKUP(C21,data!$J$54:$S$54,VLOOKUP(D21,data!$R$4:$S$12,2,FALSE)))</f>
      </c>
      <c r="I21" s="90">
        <f t="shared" si="5"/>
        <v>0</v>
      </c>
      <c r="J21" s="6">
        <f t="shared" si="6"/>
        <v>0</v>
      </c>
      <c r="K21" s="14" t="b">
        <f t="shared" si="7"/>
        <v>0</v>
      </c>
      <c r="L21" s="134">
        <f t="shared" si="8"/>
        <v>0</v>
      </c>
      <c r="M21" s="14" t="b">
        <f t="shared" si="9"/>
        <v>0</v>
      </c>
      <c r="N21" s="134">
        <f t="shared" si="10"/>
        <v>0</v>
      </c>
      <c r="O21" s="14" t="b">
        <f t="shared" si="11"/>
        <v>0</v>
      </c>
      <c r="P21" s="134">
        <f t="shared" si="12"/>
        <v>0</v>
      </c>
      <c r="Q21" s="14" t="b">
        <f t="shared" si="13"/>
        <v>0</v>
      </c>
      <c r="R21" s="134">
        <f t="shared" si="14"/>
        <v>0</v>
      </c>
      <c r="S21" s="14" t="b">
        <f t="shared" si="15"/>
        <v>0</v>
      </c>
      <c r="T21" s="134">
        <f t="shared" si="16"/>
        <v>0</v>
      </c>
      <c r="U21" s="14" t="b">
        <f t="shared" si="17"/>
        <v>0</v>
      </c>
      <c r="V21" s="134">
        <f t="shared" si="18"/>
        <v>0</v>
      </c>
      <c r="W21" s="14" t="b">
        <f t="shared" si="19"/>
        <v>0</v>
      </c>
      <c r="X21" s="134">
        <f t="shared" si="20"/>
        <v>0</v>
      </c>
      <c r="Y21" s="183">
        <f>IF(BE21="",1,VLOOKUP(BE21,data!$C$3:$D$10,2,FALSE))*(1+BF21)</f>
        <v>1</v>
      </c>
      <c r="Z21" s="86"/>
      <c r="AA21" s="86"/>
      <c r="AB21" s="86"/>
      <c r="AC21" s="86"/>
      <c r="AD21" s="149"/>
      <c r="AE21" s="149"/>
      <c r="AF21" s="86"/>
      <c r="AG21" s="86"/>
      <c r="AH21" s="86"/>
      <c r="AI21" s="86"/>
      <c r="AJ21" s="86"/>
      <c r="AK21" s="149"/>
      <c r="AL21" s="149"/>
      <c r="AM21" s="86"/>
      <c r="AN21" s="86"/>
      <c r="AO21" s="86"/>
      <c r="AP21" s="86"/>
      <c r="AQ21" s="86"/>
      <c r="AR21" s="149"/>
      <c r="AS21" s="149"/>
      <c r="AT21" s="86"/>
      <c r="AU21" s="86"/>
      <c r="AV21" s="86"/>
      <c r="AW21" s="86"/>
      <c r="AX21" s="86"/>
      <c r="AY21" s="149"/>
      <c r="AZ21" s="149"/>
      <c r="BA21" s="86"/>
      <c r="BB21" s="86"/>
      <c r="BC21" s="86"/>
      <c r="BD21" s="86"/>
      <c r="BE21" s="7"/>
      <c r="BF21" s="8"/>
      <c r="BG21" s="8"/>
      <c r="BH21" s="6">
        <f t="shared" si="21"/>
        <v>0</v>
      </c>
      <c r="BI21" s="6">
        <f t="shared" si="22"/>
        <v>0</v>
      </c>
      <c r="BJ21" s="6">
        <f t="shared" si="23"/>
        <v>0</v>
      </c>
      <c r="BK21" s="6">
        <f t="shared" si="2"/>
        <v>0</v>
      </c>
      <c r="BL21" s="6">
        <f t="shared" si="3"/>
        <v>0</v>
      </c>
      <c r="BN21" s="26">
        <f t="shared" si="24"/>
        <v>0</v>
      </c>
      <c r="BO21" s="26">
        <f t="shared" si="25"/>
        <v>0</v>
      </c>
      <c r="BP21" s="26">
        <f t="shared" si="26"/>
        <v>0</v>
      </c>
      <c r="BQ21" s="26">
        <f t="shared" si="27"/>
        <v>0</v>
      </c>
      <c r="BR21" s="26">
        <f t="shared" si="28"/>
        <v>0</v>
      </c>
      <c r="BS21" s="26">
        <f t="shared" si="29"/>
        <v>0</v>
      </c>
    </row>
    <row r="22" spans="1:71" ht="12.75" customHeight="1">
      <c r="A22" s="1"/>
      <c r="B22" s="2"/>
      <c r="C22" s="3"/>
      <c r="D22" s="4"/>
      <c r="E22" s="5">
        <f t="shared" si="4"/>
      </c>
      <c r="F22" s="5">
        <f t="shared" si="1"/>
      </c>
      <c r="G22" s="135"/>
      <c r="H22" s="6">
        <f>IF(OR(C22=0,D22=0),"",VLOOKUP(C22,data!$J$54:$S$54,VLOOKUP(D22,data!$R$4:$S$12,2,FALSE)))</f>
      </c>
      <c r="I22" s="90">
        <f t="shared" si="5"/>
        <v>0</v>
      </c>
      <c r="J22" s="6">
        <f t="shared" si="6"/>
        <v>0</v>
      </c>
      <c r="K22" s="14" t="b">
        <f t="shared" si="7"/>
        <v>0</v>
      </c>
      <c r="L22" s="134">
        <f t="shared" si="8"/>
        <v>0</v>
      </c>
      <c r="M22" s="14" t="b">
        <f t="shared" si="9"/>
        <v>0</v>
      </c>
      <c r="N22" s="134">
        <f t="shared" si="10"/>
        <v>0</v>
      </c>
      <c r="O22" s="14" t="b">
        <f t="shared" si="11"/>
        <v>0</v>
      </c>
      <c r="P22" s="134">
        <f t="shared" si="12"/>
        <v>0</v>
      </c>
      <c r="Q22" s="14" t="b">
        <f t="shared" si="13"/>
        <v>0</v>
      </c>
      <c r="R22" s="134">
        <f t="shared" si="14"/>
        <v>0</v>
      </c>
      <c r="S22" s="14" t="b">
        <f t="shared" si="15"/>
        <v>0</v>
      </c>
      <c r="T22" s="134">
        <f t="shared" si="16"/>
        <v>0</v>
      </c>
      <c r="U22" s="14" t="b">
        <f t="shared" si="17"/>
        <v>0</v>
      </c>
      <c r="V22" s="134">
        <f t="shared" si="18"/>
        <v>0</v>
      </c>
      <c r="W22" s="14" t="b">
        <f t="shared" si="19"/>
        <v>0</v>
      </c>
      <c r="X22" s="134">
        <f t="shared" si="20"/>
        <v>0</v>
      </c>
      <c r="Y22" s="183">
        <f>IF(BE22="",1,VLOOKUP(BE22,data!$C$3:$D$10,2,FALSE))*(1+BF22)</f>
        <v>1</v>
      </c>
      <c r="Z22" s="86"/>
      <c r="AA22" s="86"/>
      <c r="AB22" s="86"/>
      <c r="AC22" s="86"/>
      <c r="AD22" s="149"/>
      <c r="AE22" s="149"/>
      <c r="AF22" s="86"/>
      <c r="AG22" s="86"/>
      <c r="AH22" s="86"/>
      <c r="AI22" s="86"/>
      <c r="AJ22" s="86"/>
      <c r="AK22" s="149"/>
      <c r="AL22" s="149"/>
      <c r="AM22" s="86"/>
      <c r="AN22" s="86"/>
      <c r="AO22" s="86"/>
      <c r="AP22" s="86"/>
      <c r="AQ22" s="86"/>
      <c r="AR22" s="149"/>
      <c r="AS22" s="149"/>
      <c r="AT22" s="86"/>
      <c r="AU22" s="86"/>
      <c r="AV22" s="86"/>
      <c r="AW22" s="86"/>
      <c r="AX22" s="86"/>
      <c r="AY22" s="149"/>
      <c r="AZ22" s="149"/>
      <c r="BA22" s="86"/>
      <c r="BB22" s="86"/>
      <c r="BC22" s="86"/>
      <c r="BD22" s="86"/>
      <c r="BE22" s="7"/>
      <c r="BF22" s="8"/>
      <c r="BG22" s="8"/>
      <c r="BH22" s="6">
        <f t="shared" si="21"/>
        <v>0</v>
      </c>
      <c r="BI22" s="6">
        <f t="shared" si="22"/>
        <v>0</v>
      </c>
      <c r="BJ22" s="6">
        <f t="shared" si="23"/>
        <v>0</v>
      </c>
      <c r="BK22" s="6">
        <f t="shared" si="2"/>
        <v>0</v>
      </c>
      <c r="BL22" s="6">
        <f t="shared" si="3"/>
        <v>0</v>
      </c>
      <c r="BN22" s="26">
        <f t="shared" si="24"/>
        <v>0</v>
      </c>
      <c r="BO22" s="26">
        <f t="shared" si="25"/>
        <v>0</v>
      </c>
      <c r="BP22" s="26">
        <f t="shared" si="26"/>
        <v>0</v>
      </c>
      <c r="BQ22" s="26">
        <f t="shared" si="27"/>
        <v>0</v>
      </c>
      <c r="BR22" s="26">
        <f t="shared" si="28"/>
        <v>0</v>
      </c>
      <c r="BS22" s="26">
        <f t="shared" si="29"/>
        <v>0</v>
      </c>
    </row>
    <row r="23" spans="1:71" ht="12.75" customHeight="1">
      <c r="A23" s="1"/>
      <c r="B23" s="2"/>
      <c r="C23" s="3"/>
      <c r="D23" s="4"/>
      <c r="E23" s="5">
        <f t="shared" si="4"/>
      </c>
      <c r="F23" s="5">
        <f t="shared" si="1"/>
      </c>
      <c r="G23" s="135"/>
      <c r="H23" s="6">
        <f>IF(OR(C23=0,D23=0),"",VLOOKUP(C23,data!$J$54:$S$54,VLOOKUP(D23,data!$R$4:$S$12,2,FALSE)))</f>
      </c>
      <c r="I23" s="90">
        <f t="shared" si="5"/>
        <v>0</v>
      </c>
      <c r="J23" s="6">
        <f t="shared" si="6"/>
        <v>0</v>
      </c>
      <c r="K23" s="14" t="b">
        <f t="shared" si="7"/>
        <v>0</v>
      </c>
      <c r="L23" s="134">
        <f t="shared" si="8"/>
        <v>0</v>
      </c>
      <c r="M23" s="14" t="b">
        <f t="shared" si="9"/>
        <v>0</v>
      </c>
      <c r="N23" s="134">
        <f t="shared" si="10"/>
        <v>0</v>
      </c>
      <c r="O23" s="14" t="b">
        <f t="shared" si="11"/>
        <v>0</v>
      </c>
      <c r="P23" s="134">
        <f t="shared" si="12"/>
        <v>0</v>
      </c>
      <c r="Q23" s="14" t="b">
        <f t="shared" si="13"/>
        <v>0</v>
      </c>
      <c r="R23" s="134">
        <f t="shared" si="14"/>
        <v>0</v>
      </c>
      <c r="S23" s="14" t="b">
        <f t="shared" si="15"/>
        <v>0</v>
      </c>
      <c r="T23" s="134">
        <f t="shared" si="16"/>
        <v>0</v>
      </c>
      <c r="U23" s="14" t="b">
        <f t="shared" si="17"/>
        <v>0</v>
      </c>
      <c r="V23" s="134">
        <f t="shared" si="18"/>
        <v>0</v>
      </c>
      <c r="W23" s="14" t="b">
        <f t="shared" si="19"/>
        <v>0</v>
      </c>
      <c r="X23" s="134">
        <f t="shared" si="20"/>
        <v>0</v>
      </c>
      <c r="Y23" s="183">
        <f>IF(BE23="",1,VLOOKUP(BE23,data!$C$3:$D$10,2,FALSE))*(1+BF23)</f>
        <v>1</v>
      </c>
      <c r="Z23" s="86"/>
      <c r="AA23" s="86"/>
      <c r="AB23" s="86"/>
      <c r="AC23" s="86"/>
      <c r="AD23" s="149"/>
      <c r="AE23" s="149"/>
      <c r="AF23" s="86"/>
      <c r="AG23" s="86"/>
      <c r="AH23" s="86"/>
      <c r="AI23" s="86"/>
      <c r="AJ23" s="86"/>
      <c r="AK23" s="149"/>
      <c r="AL23" s="149"/>
      <c r="AM23" s="86"/>
      <c r="AN23" s="86"/>
      <c r="AO23" s="86"/>
      <c r="AP23" s="86"/>
      <c r="AQ23" s="86"/>
      <c r="AR23" s="149"/>
      <c r="AS23" s="149"/>
      <c r="AT23" s="86"/>
      <c r="AU23" s="86"/>
      <c r="AV23" s="86"/>
      <c r="AW23" s="86"/>
      <c r="AX23" s="86"/>
      <c r="AY23" s="149"/>
      <c r="AZ23" s="149"/>
      <c r="BA23" s="86"/>
      <c r="BB23" s="86"/>
      <c r="BC23" s="86"/>
      <c r="BD23" s="86"/>
      <c r="BE23" s="7"/>
      <c r="BF23" s="8"/>
      <c r="BG23" s="8"/>
      <c r="BH23" s="6">
        <f t="shared" si="21"/>
        <v>0</v>
      </c>
      <c r="BI23" s="6">
        <f t="shared" si="22"/>
        <v>0</v>
      </c>
      <c r="BJ23" s="6">
        <f t="shared" si="23"/>
        <v>0</v>
      </c>
      <c r="BK23" s="6">
        <f t="shared" si="2"/>
        <v>0</v>
      </c>
      <c r="BL23" s="6">
        <f t="shared" si="3"/>
        <v>0</v>
      </c>
      <c r="BN23" s="26">
        <f t="shared" si="24"/>
        <v>0</v>
      </c>
      <c r="BO23" s="26">
        <f t="shared" si="25"/>
        <v>0</v>
      </c>
      <c r="BP23" s="26">
        <f t="shared" si="26"/>
        <v>0</v>
      </c>
      <c r="BQ23" s="26">
        <f t="shared" si="27"/>
        <v>0</v>
      </c>
      <c r="BR23" s="26">
        <f t="shared" si="28"/>
        <v>0</v>
      </c>
      <c r="BS23" s="26">
        <f t="shared" si="29"/>
        <v>0</v>
      </c>
    </row>
    <row r="24" spans="1:71" ht="12.75" customHeight="1">
      <c r="A24" s="1"/>
      <c r="B24" s="2"/>
      <c r="C24" s="3"/>
      <c r="D24" s="4"/>
      <c r="E24" s="5">
        <f t="shared" si="4"/>
      </c>
      <c r="F24" s="5">
        <f t="shared" si="1"/>
      </c>
      <c r="G24" s="135"/>
      <c r="H24" s="6">
        <f>IF(OR(C24=0,D24=0),"",VLOOKUP(C24,data!$J$54:$S$54,VLOOKUP(D24,data!$R$4:$S$12,2,FALSE)))</f>
      </c>
      <c r="I24" s="90">
        <f t="shared" si="5"/>
        <v>0</v>
      </c>
      <c r="J24" s="6">
        <f t="shared" si="6"/>
        <v>0</v>
      </c>
      <c r="K24" s="14" t="b">
        <f t="shared" si="7"/>
        <v>0</v>
      </c>
      <c r="L24" s="134">
        <f t="shared" si="8"/>
        <v>0</v>
      </c>
      <c r="M24" s="14" t="b">
        <f t="shared" si="9"/>
        <v>0</v>
      </c>
      <c r="N24" s="134">
        <f t="shared" si="10"/>
        <v>0</v>
      </c>
      <c r="O24" s="14" t="b">
        <f t="shared" si="11"/>
        <v>0</v>
      </c>
      <c r="P24" s="134">
        <f t="shared" si="12"/>
        <v>0</v>
      </c>
      <c r="Q24" s="14" t="b">
        <f t="shared" si="13"/>
        <v>0</v>
      </c>
      <c r="R24" s="134">
        <f t="shared" si="14"/>
        <v>0</v>
      </c>
      <c r="S24" s="14" t="b">
        <f t="shared" si="15"/>
        <v>0</v>
      </c>
      <c r="T24" s="134">
        <f t="shared" si="16"/>
        <v>0</v>
      </c>
      <c r="U24" s="14" t="b">
        <f t="shared" si="17"/>
        <v>0</v>
      </c>
      <c r="V24" s="134">
        <f t="shared" si="18"/>
        <v>0</v>
      </c>
      <c r="W24" s="14" t="b">
        <f t="shared" si="19"/>
        <v>0</v>
      </c>
      <c r="X24" s="134">
        <f t="shared" si="20"/>
        <v>0</v>
      </c>
      <c r="Y24" s="183">
        <f>IF(BE24="",1,VLOOKUP(BE24,data!$C$3:$D$10,2,FALSE))*(1+BF24)</f>
        <v>1</v>
      </c>
      <c r="Z24" s="86"/>
      <c r="AA24" s="86"/>
      <c r="AB24" s="86"/>
      <c r="AC24" s="86"/>
      <c r="AD24" s="149"/>
      <c r="AE24" s="149"/>
      <c r="AF24" s="86"/>
      <c r="AG24" s="86"/>
      <c r="AH24" s="86"/>
      <c r="AI24" s="86"/>
      <c r="AJ24" s="86"/>
      <c r="AK24" s="149"/>
      <c r="AL24" s="149"/>
      <c r="AM24" s="86"/>
      <c r="AN24" s="86"/>
      <c r="AO24" s="86"/>
      <c r="AP24" s="86"/>
      <c r="AQ24" s="86"/>
      <c r="AR24" s="149"/>
      <c r="AS24" s="149"/>
      <c r="AT24" s="86"/>
      <c r="AU24" s="86"/>
      <c r="AV24" s="86"/>
      <c r="AW24" s="86"/>
      <c r="AX24" s="86"/>
      <c r="AY24" s="149"/>
      <c r="AZ24" s="149"/>
      <c r="BA24" s="86"/>
      <c r="BB24" s="86"/>
      <c r="BC24" s="86"/>
      <c r="BD24" s="86"/>
      <c r="BE24" s="7"/>
      <c r="BF24" s="8"/>
      <c r="BG24" s="8"/>
      <c r="BH24" s="6">
        <f t="shared" si="21"/>
        <v>0</v>
      </c>
      <c r="BI24" s="6">
        <f t="shared" si="22"/>
        <v>0</v>
      </c>
      <c r="BJ24" s="6">
        <f t="shared" si="23"/>
        <v>0</v>
      </c>
      <c r="BK24" s="6">
        <f t="shared" si="2"/>
        <v>0</v>
      </c>
      <c r="BL24" s="6">
        <f t="shared" si="3"/>
        <v>0</v>
      </c>
      <c r="BN24" s="26">
        <f t="shared" si="24"/>
        <v>0</v>
      </c>
      <c r="BO24" s="26">
        <f t="shared" si="25"/>
        <v>0</v>
      </c>
      <c r="BP24" s="26">
        <f t="shared" si="26"/>
        <v>0</v>
      </c>
      <c r="BQ24" s="26">
        <f t="shared" si="27"/>
        <v>0</v>
      </c>
      <c r="BR24" s="26">
        <f t="shared" si="28"/>
        <v>0</v>
      </c>
      <c r="BS24" s="26">
        <f t="shared" si="29"/>
        <v>0</v>
      </c>
    </row>
    <row r="25" spans="1:71" ht="12.75" customHeight="1">
      <c r="A25" s="1"/>
      <c r="B25" s="2"/>
      <c r="C25" s="3"/>
      <c r="D25" s="4"/>
      <c r="E25" s="5">
        <f t="shared" si="4"/>
      </c>
      <c r="F25" s="5">
        <f t="shared" si="1"/>
      </c>
      <c r="G25" s="135"/>
      <c r="H25" s="6">
        <f>IF(OR(C25=0,D25=0),"",VLOOKUP(C25,data!$J$54:$S$54,VLOOKUP(D25,data!$R$4:$S$12,2,FALSE)))</f>
      </c>
      <c r="I25" s="90">
        <f t="shared" si="5"/>
        <v>0</v>
      </c>
      <c r="J25" s="6">
        <f t="shared" si="6"/>
        <v>0</v>
      </c>
      <c r="K25" s="14" t="b">
        <f t="shared" si="7"/>
        <v>0</v>
      </c>
      <c r="L25" s="134">
        <f t="shared" si="8"/>
        <v>0</v>
      </c>
      <c r="M25" s="14" t="b">
        <f t="shared" si="9"/>
        <v>0</v>
      </c>
      <c r="N25" s="134">
        <f t="shared" si="10"/>
        <v>0</v>
      </c>
      <c r="O25" s="14" t="b">
        <f t="shared" si="11"/>
        <v>0</v>
      </c>
      <c r="P25" s="134">
        <f t="shared" si="12"/>
        <v>0</v>
      </c>
      <c r="Q25" s="14" t="b">
        <f t="shared" si="13"/>
        <v>0</v>
      </c>
      <c r="R25" s="134">
        <f t="shared" si="14"/>
        <v>0</v>
      </c>
      <c r="S25" s="14" t="b">
        <f t="shared" si="15"/>
        <v>0</v>
      </c>
      <c r="T25" s="134">
        <f t="shared" si="16"/>
        <v>0</v>
      </c>
      <c r="U25" s="14" t="b">
        <f t="shared" si="17"/>
        <v>0</v>
      </c>
      <c r="V25" s="134">
        <f t="shared" si="18"/>
        <v>0</v>
      </c>
      <c r="W25" s="14" t="b">
        <f t="shared" si="19"/>
        <v>0</v>
      </c>
      <c r="X25" s="134">
        <f t="shared" si="20"/>
        <v>0</v>
      </c>
      <c r="Y25" s="183">
        <f>IF(BE25="",1,VLOOKUP(BE25,data!$C$3:$D$10,2,FALSE))*(1+BF25)</f>
        <v>1</v>
      </c>
      <c r="Z25" s="86"/>
      <c r="AA25" s="86"/>
      <c r="AB25" s="86"/>
      <c r="AC25" s="86"/>
      <c r="AD25" s="149"/>
      <c r="AE25" s="149"/>
      <c r="AF25" s="86"/>
      <c r="AG25" s="86"/>
      <c r="AH25" s="86"/>
      <c r="AI25" s="86"/>
      <c r="AJ25" s="86"/>
      <c r="AK25" s="149"/>
      <c r="AL25" s="149"/>
      <c r="AM25" s="86"/>
      <c r="AN25" s="86"/>
      <c r="AO25" s="86"/>
      <c r="AP25" s="86"/>
      <c r="AQ25" s="86"/>
      <c r="AR25" s="149"/>
      <c r="AS25" s="149"/>
      <c r="AT25" s="86"/>
      <c r="AU25" s="86"/>
      <c r="AV25" s="86"/>
      <c r="AW25" s="86"/>
      <c r="AX25" s="86"/>
      <c r="AY25" s="149"/>
      <c r="AZ25" s="149"/>
      <c r="BA25" s="86"/>
      <c r="BB25" s="86"/>
      <c r="BC25" s="86"/>
      <c r="BD25" s="86"/>
      <c r="BE25" s="7"/>
      <c r="BF25" s="8"/>
      <c r="BG25" s="8"/>
      <c r="BH25" s="6">
        <f t="shared" si="21"/>
        <v>0</v>
      </c>
      <c r="BI25" s="6">
        <f t="shared" si="22"/>
        <v>0</v>
      </c>
      <c r="BJ25" s="6">
        <f t="shared" si="23"/>
        <v>0</v>
      </c>
      <c r="BK25" s="6">
        <f t="shared" si="2"/>
        <v>0</v>
      </c>
      <c r="BL25" s="6">
        <f t="shared" si="3"/>
        <v>0</v>
      </c>
      <c r="BN25" s="26">
        <f t="shared" si="24"/>
        <v>0</v>
      </c>
      <c r="BO25" s="26">
        <f t="shared" si="25"/>
        <v>0</v>
      </c>
      <c r="BP25" s="26">
        <f t="shared" si="26"/>
        <v>0</v>
      </c>
      <c r="BQ25" s="26">
        <f t="shared" si="27"/>
        <v>0</v>
      </c>
      <c r="BR25" s="26">
        <f t="shared" si="28"/>
        <v>0</v>
      </c>
      <c r="BS25" s="26">
        <f t="shared" si="29"/>
        <v>0</v>
      </c>
    </row>
    <row r="26" spans="1:71" ht="12.75" customHeight="1">
      <c r="A26" s="1"/>
      <c r="B26" s="2"/>
      <c r="C26" s="3"/>
      <c r="D26" s="4"/>
      <c r="E26" s="5">
        <f t="shared" si="4"/>
      </c>
      <c r="F26" s="5">
        <f t="shared" si="1"/>
      </c>
      <c r="G26" s="135"/>
      <c r="H26" s="6">
        <f>IF(OR(C26=0,D26=0),"",VLOOKUP(C26,data!$J$54:$S$54,VLOOKUP(D26,data!$R$4:$S$12,2,FALSE)))</f>
      </c>
      <c r="I26" s="90">
        <f t="shared" si="5"/>
        <v>0</v>
      </c>
      <c r="J26" s="6">
        <f t="shared" si="6"/>
        <v>0</v>
      </c>
      <c r="K26" s="14" t="b">
        <f t="shared" si="7"/>
        <v>0</v>
      </c>
      <c r="L26" s="134">
        <f t="shared" si="8"/>
        <v>0</v>
      </c>
      <c r="M26" s="14" t="b">
        <f t="shared" si="9"/>
        <v>0</v>
      </c>
      <c r="N26" s="134">
        <f t="shared" si="10"/>
        <v>0</v>
      </c>
      <c r="O26" s="14" t="b">
        <f t="shared" si="11"/>
        <v>0</v>
      </c>
      <c r="P26" s="134">
        <f t="shared" si="12"/>
        <v>0</v>
      </c>
      <c r="Q26" s="14" t="b">
        <f t="shared" si="13"/>
        <v>0</v>
      </c>
      <c r="R26" s="134">
        <f t="shared" si="14"/>
        <v>0</v>
      </c>
      <c r="S26" s="14" t="b">
        <f t="shared" si="15"/>
        <v>0</v>
      </c>
      <c r="T26" s="134">
        <f t="shared" si="16"/>
        <v>0</v>
      </c>
      <c r="U26" s="14" t="b">
        <f t="shared" si="17"/>
        <v>0</v>
      </c>
      <c r="V26" s="134">
        <f t="shared" si="18"/>
        <v>0</v>
      </c>
      <c r="W26" s="14" t="b">
        <f t="shared" si="19"/>
        <v>0</v>
      </c>
      <c r="X26" s="134">
        <f t="shared" si="20"/>
        <v>0</v>
      </c>
      <c r="Y26" s="183">
        <f>IF(BE26="",1,VLOOKUP(BE26,data!$C$3:$D$10,2,FALSE))*(1+BF26)</f>
        <v>1</v>
      </c>
      <c r="Z26" s="86"/>
      <c r="AA26" s="86"/>
      <c r="AB26" s="86"/>
      <c r="AC26" s="86"/>
      <c r="AD26" s="149"/>
      <c r="AE26" s="149"/>
      <c r="AF26" s="86"/>
      <c r="AG26" s="86"/>
      <c r="AH26" s="86"/>
      <c r="AI26" s="86"/>
      <c r="AJ26" s="86"/>
      <c r="AK26" s="149"/>
      <c r="AL26" s="149"/>
      <c r="AM26" s="86"/>
      <c r="AN26" s="86"/>
      <c r="AO26" s="86"/>
      <c r="AP26" s="86"/>
      <c r="AQ26" s="86"/>
      <c r="AR26" s="149"/>
      <c r="AS26" s="149"/>
      <c r="AT26" s="86"/>
      <c r="AU26" s="86"/>
      <c r="AV26" s="86"/>
      <c r="AW26" s="86"/>
      <c r="AX26" s="86"/>
      <c r="AY26" s="149"/>
      <c r="AZ26" s="149"/>
      <c r="BA26" s="86"/>
      <c r="BB26" s="86"/>
      <c r="BC26" s="86"/>
      <c r="BD26" s="86"/>
      <c r="BE26" s="7"/>
      <c r="BF26" s="8"/>
      <c r="BG26" s="8"/>
      <c r="BH26" s="6">
        <f t="shared" si="21"/>
        <v>0</v>
      </c>
      <c r="BI26" s="6">
        <f t="shared" si="22"/>
        <v>0</v>
      </c>
      <c r="BJ26" s="6">
        <f t="shared" si="23"/>
        <v>0</v>
      </c>
      <c r="BK26" s="6">
        <f t="shared" si="2"/>
        <v>0</v>
      </c>
      <c r="BL26" s="6">
        <f t="shared" si="3"/>
        <v>0</v>
      </c>
      <c r="BN26" s="26">
        <f t="shared" si="24"/>
        <v>0</v>
      </c>
      <c r="BO26" s="26">
        <f t="shared" si="25"/>
        <v>0</v>
      </c>
      <c r="BP26" s="26">
        <f t="shared" si="26"/>
        <v>0</v>
      </c>
      <c r="BQ26" s="26">
        <f t="shared" si="27"/>
        <v>0</v>
      </c>
      <c r="BR26" s="26">
        <f t="shared" si="28"/>
        <v>0</v>
      </c>
      <c r="BS26" s="26">
        <f t="shared" si="29"/>
        <v>0</v>
      </c>
    </row>
    <row r="27" spans="1:71" ht="12.75" customHeight="1">
      <c r="A27" s="1"/>
      <c r="B27" s="2"/>
      <c r="C27" s="3"/>
      <c r="D27" s="4"/>
      <c r="E27" s="5">
        <f t="shared" si="4"/>
      </c>
      <c r="F27" s="5">
        <f t="shared" si="1"/>
      </c>
      <c r="G27" s="135"/>
      <c r="H27" s="6">
        <f>IF(OR(C27=0,D27=0),"",VLOOKUP(C27,data!$J$54:$S$54,VLOOKUP(D27,data!$R$4:$S$12,2,FALSE)))</f>
      </c>
      <c r="I27" s="90">
        <f t="shared" si="5"/>
        <v>0</v>
      </c>
      <c r="J27" s="6">
        <f t="shared" si="6"/>
        <v>0</v>
      </c>
      <c r="K27" s="14" t="b">
        <f t="shared" si="7"/>
        <v>0</v>
      </c>
      <c r="L27" s="134">
        <f t="shared" si="8"/>
        <v>0</v>
      </c>
      <c r="M27" s="14" t="b">
        <f t="shared" si="9"/>
        <v>0</v>
      </c>
      <c r="N27" s="134">
        <f t="shared" si="10"/>
        <v>0</v>
      </c>
      <c r="O27" s="14" t="b">
        <f t="shared" si="11"/>
        <v>0</v>
      </c>
      <c r="P27" s="134">
        <f t="shared" si="12"/>
        <v>0</v>
      </c>
      <c r="Q27" s="14" t="b">
        <f t="shared" si="13"/>
        <v>0</v>
      </c>
      <c r="R27" s="134">
        <f t="shared" si="14"/>
        <v>0</v>
      </c>
      <c r="S27" s="14" t="b">
        <f t="shared" si="15"/>
        <v>0</v>
      </c>
      <c r="T27" s="134">
        <f t="shared" si="16"/>
        <v>0</v>
      </c>
      <c r="U27" s="14" t="b">
        <f t="shared" si="17"/>
        <v>0</v>
      </c>
      <c r="V27" s="134">
        <f t="shared" si="18"/>
        <v>0</v>
      </c>
      <c r="W27" s="14" t="b">
        <f t="shared" si="19"/>
        <v>0</v>
      </c>
      <c r="X27" s="134">
        <f t="shared" si="20"/>
        <v>0</v>
      </c>
      <c r="Y27" s="183">
        <f>IF(BE27="",1,VLOOKUP(BE27,data!$C$3:$D$10,2,FALSE))*(1+BF27)</f>
        <v>1</v>
      </c>
      <c r="Z27" s="86"/>
      <c r="AA27" s="86"/>
      <c r="AB27" s="86"/>
      <c r="AC27" s="86"/>
      <c r="AD27" s="149"/>
      <c r="AE27" s="149"/>
      <c r="AF27" s="86"/>
      <c r="AG27" s="86"/>
      <c r="AH27" s="86"/>
      <c r="AI27" s="86"/>
      <c r="AJ27" s="86"/>
      <c r="AK27" s="149"/>
      <c r="AL27" s="149"/>
      <c r="AM27" s="86"/>
      <c r="AN27" s="86"/>
      <c r="AO27" s="86"/>
      <c r="AP27" s="86"/>
      <c r="AQ27" s="86"/>
      <c r="AR27" s="149"/>
      <c r="AS27" s="149"/>
      <c r="AT27" s="86"/>
      <c r="AU27" s="86"/>
      <c r="AV27" s="86"/>
      <c r="AW27" s="86"/>
      <c r="AX27" s="86"/>
      <c r="AY27" s="149"/>
      <c r="AZ27" s="149"/>
      <c r="BA27" s="86"/>
      <c r="BB27" s="86"/>
      <c r="BC27" s="86"/>
      <c r="BD27" s="86"/>
      <c r="BE27" s="7"/>
      <c r="BF27" s="8"/>
      <c r="BG27" s="8"/>
      <c r="BH27" s="6">
        <f t="shared" si="21"/>
        <v>0</v>
      </c>
      <c r="BI27" s="6">
        <f t="shared" si="22"/>
        <v>0</v>
      </c>
      <c r="BJ27" s="6">
        <f t="shared" si="23"/>
        <v>0</v>
      </c>
      <c r="BK27" s="6">
        <f t="shared" si="2"/>
        <v>0</v>
      </c>
      <c r="BL27" s="6">
        <f t="shared" si="3"/>
        <v>0</v>
      </c>
      <c r="BN27" s="26">
        <f t="shared" si="24"/>
        <v>0</v>
      </c>
      <c r="BO27" s="26">
        <f t="shared" si="25"/>
        <v>0</v>
      </c>
      <c r="BP27" s="26">
        <f t="shared" si="26"/>
        <v>0</v>
      </c>
      <c r="BQ27" s="26">
        <f t="shared" si="27"/>
        <v>0</v>
      </c>
      <c r="BR27" s="26">
        <f t="shared" si="28"/>
        <v>0</v>
      </c>
      <c r="BS27" s="26">
        <f t="shared" si="29"/>
        <v>0</v>
      </c>
    </row>
    <row r="28" spans="1:71" ht="12.75" customHeight="1">
      <c r="A28" s="1"/>
      <c r="B28" s="2"/>
      <c r="C28" s="3"/>
      <c r="D28" s="4"/>
      <c r="E28" s="5">
        <f t="shared" si="4"/>
      </c>
      <c r="F28" s="5">
        <f t="shared" si="1"/>
      </c>
      <c r="G28" s="135"/>
      <c r="H28" s="6">
        <f>IF(OR(C28=0,D28=0),"",VLOOKUP(C28,data!$J$54:$S$54,VLOOKUP(D28,data!$R$4:$S$12,2,FALSE)))</f>
      </c>
      <c r="I28" s="90">
        <f t="shared" si="5"/>
        <v>0</v>
      </c>
      <c r="J28" s="6">
        <f t="shared" si="6"/>
        <v>0</v>
      </c>
      <c r="K28" s="14" t="b">
        <f t="shared" si="7"/>
        <v>0</v>
      </c>
      <c r="L28" s="134">
        <f t="shared" si="8"/>
        <v>0</v>
      </c>
      <c r="M28" s="14" t="b">
        <f t="shared" si="9"/>
        <v>0</v>
      </c>
      <c r="N28" s="134">
        <f t="shared" si="10"/>
        <v>0</v>
      </c>
      <c r="O28" s="14" t="b">
        <f t="shared" si="11"/>
        <v>0</v>
      </c>
      <c r="P28" s="134">
        <f t="shared" si="12"/>
        <v>0</v>
      </c>
      <c r="Q28" s="14" t="b">
        <f t="shared" si="13"/>
        <v>0</v>
      </c>
      <c r="R28" s="134">
        <f t="shared" si="14"/>
        <v>0</v>
      </c>
      <c r="S28" s="14" t="b">
        <f t="shared" si="15"/>
        <v>0</v>
      </c>
      <c r="T28" s="134">
        <f t="shared" si="16"/>
        <v>0</v>
      </c>
      <c r="U28" s="14" t="b">
        <f t="shared" si="17"/>
        <v>0</v>
      </c>
      <c r="V28" s="134">
        <f t="shared" si="18"/>
        <v>0</v>
      </c>
      <c r="W28" s="14" t="b">
        <f t="shared" si="19"/>
        <v>0</v>
      </c>
      <c r="X28" s="134">
        <f t="shared" si="20"/>
        <v>0</v>
      </c>
      <c r="Y28" s="183">
        <f>IF(BE28="",1,VLOOKUP(BE28,data!$C$3:$D$10,2,FALSE))*(1+BF28)</f>
        <v>1</v>
      </c>
      <c r="Z28" s="87"/>
      <c r="AA28" s="87"/>
      <c r="AB28" s="87"/>
      <c r="AC28" s="87"/>
      <c r="AD28" s="86"/>
      <c r="AE28" s="149"/>
      <c r="AF28" s="87"/>
      <c r="AG28" s="87"/>
      <c r="AH28" s="87"/>
      <c r="AI28" s="87"/>
      <c r="AJ28" s="87"/>
      <c r="AK28" s="86"/>
      <c r="AL28" s="149"/>
      <c r="AM28" s="87"/>
      <c r="AN28" s="87"/>
      <c r="AO28" s="87"/>
      <c r="AP28" s="87"/>
      <c r="AQ28" s="87"/>
      <c r="AR28" s="86"/>
      <c r="AS28" s="149"/>
      <c r="AT28" s="87"/>
      <c r="AU28" s="87"/>
      <c r="AV28" s="87"/>
      <c r="AW28" s="87"/>
      <c r="AX28" s="87"/>
      <c r="AY28" s="86"/>
      <c r="AZ28" s="149"/>
      <c r="BA28" s="87"/>
      <c r="BB28" s="87"/>
      <c r="BC28" s="87"/>
      <c r="BD28" s="87"/>
      <c r="BE28" s="7"/>
      <c r="BF28" s="8"/>
      <c r="BG28" s="8"/>
      <c r="BH28" s="6">
        <f t="shared" si="21"/>
        <v>0</v>
      </c>
      <c r="BI28" s="6">
        <f t="shared" si="22"/>
        <v>0</v>
      </c>
      <c r="BJ28" s="6">
        <f t="shared" si="23"/>
        <v>0</v>
      </c>
      <c r="BK28" s="6">
        <f t="shared" si="2"/>
        <v>0</v>
      </c>
      <c r="BL28" s="6">
        <f t="shared" si="3"/>
        <v>0</v>
      </c>
      <c r="BN28" s="26">
        <f t="shared" si="24"/>
        <v>0</v>
      </c>
      <c r="BO28" s="26">
        <f t="shared" si="25"/>
        <v>0</v>
      </c>
      <c r="BP28" s="26">
        <f t="shared" si="26"/>
        <v>0</v>
      </c>
      <c r="BQ28" s="26">
        <f t="shared" si="27"/>
        <v>0</v>
      </c>
      <c r="BR28" s="26">
        <f t="shared" si="28"/>
        <v>0</v>
      </c>
      <c r="BS28" s="26">
        <f t="shared" si="29"/>
        <v>0</v>
      </c>
    </row>
    <row r="29" spans="1:71" ht="12.75" customHeight="1">
      <c r="A29" s="1"/>
      <c r="B29" s="2"/>
      <c r="C29" s="3"/>
      <c r="D29" s="4"/>
      <c r="E29" s="5">
        <f t="shared" si="4"/>
      </c>
      <c r="F29" s="5">
        <f t="shared" si="1"/>
      </c>
      <c r="G29" s="135"/>
      <c r="H29" s="6">
        <f>IF(OR(C29=0,D29=0),"",VLOOKUP(C29,data!$J$54:$S$54,VLOOKUP(D29,data!$R$4:$S$12,2,FALSE)))</f>
      </c>
      <c r="I29" s="90">
        <f t="shared" si="5"/>
        <v>0</v>
      </c>
      <c r="J29" s="6">
        <f t="shared" si="6"/>
        <v>0</v>
      </c>
      <c r="K29" s="14" t="b">
        <f t="shared" si="7"/>
        <v>0</v>
      </c>
      <c r="L29" s="134">
        <f t="shared" si="8"/>
        <v>0</v>
      </c>
      <c r="M29" s="14" t="b">
        <f t="shared" si="9"/>
        <v>0</v>
      </c>
      <c r="N29" s="134">
        <f t="shared" si="10"/>
        <v>0</v>
      </c>
      <c r="O29" s="14" t="b">
        <f t="shared" si="11"/>
        <v>0</v>
      </c>
      <c r="P29" s="134">
        <f t="shared" si="12"/>
        <v>0</v>
      </c>
      <c r="Q29" s="14" t="b">
        <f t="shared" si="13"/>
        <v>0</v>
      </c>
      <c r="R29" s="134">
        <f t="shared" si="14"/>
        <v>0</v>
      </c>
      <c r="S29" s="14" t="b">
        <f t="shared" si="15"/>
        <v>0</v>
      </c>
      <c r="T29" s="134">
        <f t="shared" si="16"/>
        <v>0</v>
      </c>
      <c r="U29" s="14" t="b">
        <f t="shared" si="17"/>
        <v>0</v>
      </c>
      <c r="V29" s="134">
        <f t="shared" si="18"/>
        <v>0</v>
      </c>
      <c r="W29" s="14" t="b">
        <f t="shared" si="19"/>
        <v>0</v>
      </c>
      <c r="X29" s="134">
        <f t="shared" si="20"/>
        <v>0</v>
      </c>
      <c r="Y29" s="183">
        <f>IF(BE29="",1,VLOOKUP(BE29,data!$C$3:$D$10,2,FALSE))*(1+BF29)</f>
        <v>1</v>
      </c>
      <c r="Z29" s="87"/>
      <c r="AA29" s="87"/>
      <c r="AB29" s="87"/>
      <c r="AC29" s="87"/>
      <c r="AD29" s="86"/>
      <c r="AE29" s="149"/>
      <c r="AF29" s="87"/>
      <c r="AG29" s="87"/>
      <c r="AH29" s="87"/>
      <c r="AI29" s="87"/>
      <c r="AJ29" s="87"/>
      <c r="AK29" s="86"/>
      <c r="AL29" s="149"/>
      <c r="AM29" s="87"/>
      <c r="AN29" s="87"/>
      <c r="AO29" s="87"/>
      <c r="AP29" s="87"/>
      <c r="AQ29" s="87"/>
      <c r="AR29" s="86"/>
      <c r="AS29" s="149"/>
      <c r="AT29" s="87"/>
      <c r="AU29" s="87"/>
      <c r="AV29" s="87"/>
      <c r="AW29" s="87"/>
      <c r="AX29" s="87"/>
      <c r="AY29" s="86"/>
      <c r="AZ29" s="149"/>
      <c r="BA29" s="87"/>
      <c r="BB29" s="87"/>
      <c r="BC29" s="87"/>
      <c r="BD29" s="87"/>
      <c r="BE29" s="7"/>
      <c r="BF29" s="8"/>
      <c r="BG29" s="8"/>
      <c r="BH29" s="6">
        <f t="shared" si="21"/>
        <v>0</v>
      </c>
      <c r="BI29" s="6">
        <f t="shared" si="22"/>
        <v>0</v>
      </c>
      <c r="BJ29" s="6">
        <f t="shared" si="23"/>
        <v>0</v>
      </c>
      <c r="BK29" s="6">
        <f t="shared" si="2"/>
        <v>0</v>
      </c>
      <c r="BL29" s="6">
        <f t="shared" si="3"/>
        <v>0</v>
      </c>
      <c r="BN29" s="26">
        <f t="shared" si="24"/>
        <v>0</v>
      </c>
      <c r="BO29" s="26">
        <f t="shared" si="25"/>
        <v>0</v>
      </c>
      <c r="BP29" s="26">
        <f t="shared" si="26"/>
        <v>0</v>
      </c>
      <c r="BQ29" s="26">
        <f t="shared" si="27"/>
        <v>0</v>
      </c>
      <c r="BR29" s="26">
        <f t="shared" si="28"/>
        <v>0</v>
      </c>
      <c r="BS29" s="26">
        <f t="shared" si="29"/>
        <v>0</v>
      </c>
    </row>
    <row r="30" spans="1:71" ht="12.75" customHeight="1">
      <c r="A30" s="1"/>
      <c r="B30" s="2"/>
      <c r="C30" s="3"/>
      <c r="D30" s="4"/>
      <c r="E30" s="5">
        <f t="shared" si="4"/>
      </c>
      <c r="F30" s="5">
        <f t="shared" si="1"/>
      </c>
      <c r="G30" s="135"/>
      <c r="H30" s="6">
        <f>IF(OR(C30=0,D30=0),"",VLOOKUP(C30,data!$J$54:$S$54,VLOOKUP(D30,data!$R$4:$S$12,2,FALSE)))</f>
      </c>
      <c r="I30" s="90">
        <f t="shared" si="5"/>
        <v>0</v>
      </c>
      <c r="J30" s="6">
        <f t="shared" si="6"/>
        <v>0</v>
      </c>
      <c r="K30" s="14" t="b">
        <f t="shared" si="7"/>
        <v>0</v>
      </c>
      <c r="L30" s="134">
        <f t="shared" si="8"/>
        <v>0</v>
      </c>
      <c r="M30" s="14" t="b">
        <f t="shared" si="9"/>
        <v>0</v>
      </c>
      <c r="N30" s="134">
        <f t="shared" si="10"/>
        <v>0</v>
      </c>
      <c r="O30" s="14" t="b">
        <f t="shared" si="11"/>
        <v>0</v>
      </c>
      <c r="P30" s="134">
        <f t="shared" si="12"/>
        <v>0</v>
      </c>
      <c r="Q30" s="14" t="b">
        <f t="shared" si="13"/>
        <v>0</v>
      </c>
      <c r="R30" s="134">
        <f t="shared" si="14"/>
        <v>0</v>
      </c>
      <c r="S30" s="14" t="b">
        <f t="shared" si="15"/>
        <v>0</v>
      </c>
      <c r="T30" s="134">
        <f t="shared" si="16"/>
        <v>0</v>
      </c>
      <c r="U30" s="14" t="b">
        <f t="shared" si="17"/>
        <v>0</v>
      </c>
      <c r="V30" s="134">
        <f t="shared" si="18"/>
        <v>0</v>
      </c>
      <c r="W30" s="14" t="b">
        <f t="shared" si="19"/>
        <v>0</v>
      </c>
      <c r="X30" s="134">
        <f t="shared" si="20"/>
        <v>0</v>
      </c>
      <c r="Y30" s="183">
        <f>IF(BE30="",1,VLOOKUP(BE30,data!$C$3:$D$10,2,FALSE))*(1+BF30)</f>
        <v>1</v>
      </c>
      <c r="Z30" s="87"/>
      <c r="AA30" s="87"/>
      <c r="AB30" s="87"/>
      <c r="AC30" s="87"/>
      <c r="AD30" s="86"/>
      <c r="AE30" s="149"/>
      <c r="AF30" s="87"/>
      <c r="AG30" s="87"/>
      <c r="AH30" s="87"/>
      <c r="AI30" s="87"/>
      <c r="AJ30" s="87"/>
      <c r="AK30" s="86"/>
      <c r="AL30" s="149"/>
      <c r="AM30" s="87"/>
      <c r="AN30" s="87"/>
      <c r="AO30" s="87"/>
      <c r="AP30" s="87"/>
      <c r="AQ30" s="87"/>
      <c r="AR30" s="86"/>
      <c r="AS30" s="149"/>
      <c r="AT30" s="87"/>
      <c r="AU30" s="87"/>
      <c r="AV30" s="87"/>
      <c r="AW30" s="87"/>
      <c r="AX30" s="87"/>
      <c r="AY30" s="86"/>
      <c r="AZ30" s="149"/>
      <c r="BA30" s="87"/>
      <c r="BB30" s="87"/>
      <c r="BC30" s="87"/>
      <c r="BD30" s="87"/>
      <c r="BE30" s="7"/>
      <c r="BF30" s="8"/>
      <c r="BG30" s="8"/>
      <c r="BH30" s="6">
        <f t="shared" si="21"/>
        <v>0</v>
      </c>
      <c r="BI30" s="6">
        <f t="shared" si="22"/>
        <v>0</v>
      </c>
      <c r="BJ30" s="6">
        <f t="shared" si="23"/>
        <v>0</v>
      </c>
      <c r="BK30" s="6">
        <f t="shared" si="2"/>
        <v>0</v>
      </c>
      <c r="BL30" s="6">
        <f t="shared" si="3"/>
        <v>0</v>
      </c>
      <c r="BN30" s="26">
        <f t="shared" si="24"/>
        <v>0</v>
      </c>
      <c r="BO30" s="26">
        <f t="shared" si="25"/>
        <v>0</v>
      </c>
      <c r="BP30" s="26">
        <f t="shared" si="26"/>
        <v>0</v>
      </c>
      <c r="BQ30" s="26">
        <f t="shared" si="27"/>
        <v>0</v>
      </c>
      <c r="BR30" s="26">
        <f t="shared" si="28"/>
        <v>0</v>
      </c>
      <c r="BS30" s="26">
        <f t="shared" si="29"/>
        <v>0</v>
      </c>
    </row>
    <row r="31" spans="1:71" ht="12.75" customHeight="1">
      <c r="A31" s="1"/>
      <c r="B31" s="2"/>
      <c r="C31" s="3"/>
      <c r="D31" s="4"/>
      <c r="E31" s="5">
        <f t="shared" si="4"/>
      </c>
      <c r="F31" s="5">
        <f t="shared" si="1"/>
      </c>
      <c r="G31" s="135"/>
      <c r="H31" s="6">
        <f>IF(OR(C31=0,D31=0),"",VLOOKUP(C31,data!$J$54:$S$54,VLOOKUP(D31,data!$R$4:$S$12,2,FALSE)))</f>
      </c>
      <c r="I31" s="90">
        <f t="shared" si="5"/>
        <v>0</v>
      </c>
      <c r="J31" s="6">
        <f t="shared" si="6"/>
        <v>0</v>
      </c>
      <c r="K31" s="14" t="b">
        <f t="shared" si="7"/>
        <v>0</v>
      </c>
      <c r="L31" s="134">
        <f t="shared" si="8"/>
        <v>0</v>
      </c>
      <c r="M31" s="14" t="b">
        <f t="shared" si="9"/>
        <v>0</v>
      </c>
      <c r="N31" s="134">
        <f t="shared" si="10"/>
        <v>0</v>
      </c>
      <c r="O31" s="14" t="b">
        <f t="shared" si="11"/>
        <v>0</v>
      </c>
      <c r="P31" s="134">
        <f t="shared" si="12"/>
        <v>0</v>
      </c>
      <c r="Q31" s="14" t="b">
        <f t="shared" si="13"/>
        <v>0</v>
      </c>
      <c r="R31" s="134">
        <f t="shared" si="14"/>
        <v>0</v>
      </c>
      <c r="S31" s="14" t="b">
        <f t="shared" si="15"/>
        <v>0</v>
      </c>
      <c r="T31" s="134">
        <f t="shared" si="16"/>
        <v>0</v>
      </c>
      <c r="U31" s="14" t="b">
        <f t="shared" si="17"/>
        <v>0</v>
      </c>
      <c r="V31" s="134">
        <f t="shared" si="18"/>
        <v>0</v>
      </c>
      <c r="W31" s="14" t="b">
        <f t="shared" si="19"/>
        <v>0</v>
      </c>
      <c r="X31" s="134">
        <f t="shared" si="20"/>
        <v>0</v>
      </c>
      <c r="Y31" s="183">
        <f>IF(BE31="",1,VLOOKUP(BE31,data!$C$3:$D$10,2,FALSE))*(1+BF31)</f>
        <v>1</v>
      </c>
      <c r="Z31" s="87"/>
      <c r="AA31" s="87"/>
      <c r="AB31" s="87"/>
      <c r="AC31" s="87"/>
      <c r="AD31" s="86"/>
      <c r="AE31" s="149"/>
      <c r="AF31" s="87"/>
      <c r="AG31" s="87"/>
      <c r="AH31" s="87"/>
      <c r="AI31" s="87"/>
      <c r="AJ31" s="87"/>
      <c r="AK31" s="86"/>
      <c r="AL31" s="149"/>
      <c r="AM31" s="87"/>
      <c r="AN31" s="87"/>
      <c r="AO31" s="87"/>
      <c r="AP31" s="87"/>
      <c r="AQ31" s="87"/>
      <c r="AR31" s="86"/>
      <c r="AS31" s="149"/>
      <c r="AT31" s="87"/>
      <c r="AU31" s="87"/>
      <c r="AV31" s="87"/>
      <c r="AW31" s="87"/>
      <c r="AX31" s="87"/>
      <c r="AY31" s="86"/>
      <c r="AZ31" s="149"/>
      <c r="BA31" s="87"/>
      <c r="BB31" s="87"/>
      <c r="BC31" s="87"/>
      <c r="BD31" s="87"/>
      <c r="BE31" s="7"/>
      <c r="BF31" s="8"/>
      <c r="BG31" s="8"/>
      <c r="BH31" s="6">
        <f t="shared" si="21"/>
        <v>0</v>
      </c>
      <c r="BI31" s="6">
        <f t="shared" si="22"/>
        <v>0</v>
      </c>
      <c r="BJ31" s="6">
        <f t="shared" si="23"/>
        <v>0</v>
      </c>
      <c r="BK31" s="6">
        <f t="shared" si="2"/>
        <v>0</v>
      </c>
      <c r="BL31" s="6">
        <f t="shared" si="3"/>
        <v>0</v>
      </c>
      <c r="BN31" s="26">
        <f t="shared" si="24"/>
        <v>0</v>
      </c>
      <c r="BO31" s="26">
        <f t="shared" si="25"/>
        <v>0</v>
      </c>
      <c r="BP31" s="26">
        <f t="shared" si="26"/>
        <v>0</v>
      </c>
      <c r="BQ31" s="26">
        <f t="shared" si="27"/>
        <v>0</v>
      </c>
      <c r="BR31" s="26">
        <f t="shared" si="28"/>
        <v>0</v>
      </c>
      <c r="BS31" s="26">
        <f t="shared" si="29"/>
        <v>0</v>
      </c>
    </row>
    <row r="32" spans="1:71" ht="12.75" customHeight="1">
      <c r="A32" s="1"/>
      <c r="B32" s="2"/>
      <c r="C32" s="3"/>
      <c r="D32" s="4"/>
      <c r="E32" s="5">
        <f t="shared" si="4"/>
      </c>
      <c r="F32" s="5">
        <f t="shared" si="1"/>
      </c>
      <c r="G32" s="135"/>
      <c r="H32" s="6">
        <f>IF(OR(C32=0,D32=0),"",VLOOKUP(C32,data!$J$54:$S$54,VLOOKUP(D32,data!$R$4:$S$12,2,FALSE)))</f>
      </c>
      <c r="I32" s="90">
        <f t="shared" si="5"/>
        <v>0</v>
      </c>
      <c r="J32" s="6">
        <f t="shared" si="6"/>
        <v>0</v>
      </c>
      <c r="K32" s="14" t="b">
        <f t="shared" si="7"/>
        <v>0</v>
      </c>
      <c r="L32" s="134">
        <f t="shared" si="8"/>
        <v>0</v>
      </c>
      <c r="M32" s="14" t="b">
        <f t="shared" si="9"/>
        <v>0</v>
      </c>
      <c r="N32" s="134">
        <f t="shared" si="10"/>
        <v>0</v>
      </c>
      <c r="O32" s="14" t="b">
        <f t="shared" si="11"/>
        <v>0</v>
      </c>
      <c r="P32" s="134">
        <f t="shared" si="12"/>
        <v>0</v>
      </c>
      <c r="Q32" s="14" t="b">
        <f t="shared" si="13"/>
        <v>0</v>
      </c>
      <c r="R32" s="134">
        <f t="shared" si="14"/>
        <v>0</v>
      </c>
      <c r="S32" s="14" t="b">
        <f t="shared" si="15"/>
        <v>0</v>
      </c>
      <c r="T32" s="134">
        <f t="shared" si="16"/>
        <v>0</v>
      </c>
      <c r="U32" s="14" t="b">
        <f t="shared" si="17"/>
        <v>0</v>
      </c>
      <c r="V32" s="134">
        <f t="shared" si="18"/>
        <v>0</v>
      </c>
      <c r="W32" s="14" t="b">
        <f t="shared" si="19"/>
        <v>0</v>
      </c>
      <c r="X32" s="134">
        <f t="shared" si="20"/>
        <v>0</v>
      </c>
      <c r="Y32" s="183">
        <f>IF(BE32="",1,VLOOKUP(BE32,data!$C$3:$D$10,2,FALSE))*(1+BF32)</f>
        <v>1</v>
      </c>
      <c r="Z32" s="87"/>
      <c r="AA32" s="87"/>
      <c r="AB32" s="87"/>
      <c r="AC32" s="87"/>
      <c r="AD32" s="86"/>
      <c r="AE32" s="149"/>
      <c r="AF32" s="87"/>
      <c r="AG32" s="87"/>
      <c r="AH32" s="87"/>
      <c r="AI32" s="87"/>
      <c r="AJ32" s="87"/>
      <c r="AK32" s="86"/>
      <c r="AL32" s="149"/>
      <c r="AM32" s="87"/>
      <c r="AN32" s="87"/>
      <c r="AO32" s="87"/>
      <c r="AP32" s="87"/>
      <c r="AQ32" s="87"/>
      <c r="AR32" s="86"/>
      <c r="AS32" s="149"/>
      <c r="AT32" s="87"/>
      <c r="AU32" s="87"/>
      <c r="AV32" s="87"/>
      <c r="AW32" s="87"/>
      <c r="AX32" s="87"/>
      <c r="AY32" s="86"/>
      <c r="AZ32" s="149"/>
      <c r="BA32" s="87"/>
      <c r="BB32" s="87"/>
      <c r="BC32" s="87"/>
      <c r="BD32" s="87"/>
      <c r="BE32" s="7"/>
      <c r="BF32" s="8"/>
      <c r="BG32" s="8"/>
      <c r="BH32" s="6">
        <f t="shared" si="21"/>
        <v>0</v>
      </c>
      <c r="BI32" s="6">
        <f t="shared" si="22"/>
        <v>0</v>
      </c>
      <c r="BJ32" s="6">
        <f t="shared" si="23"/>
        <v>0</v>
      </c>
      <c r="BK32" s="6">
        <f t="shared" si="2"/>
        <v>0</v>
      </c>
      <c r="BL32" s="6">
        <f t="shared" si="3"/>
        <v>0</v>
      </c>
      <c r="BN32" s="26">
        <f t="shared" si="24"/>
        <v>0</v>
      </c>
      <c r="BO32" s="26">
        <f t="shared" si="25"/>
        <v>0</v>
      </c>
      <c r="BP32" s="26">
        <f t="shared" si="26"/>
        <v>0</v>
      </c>
      <c r="BQ32" s="26">
        <f t="shared" si="27"/>
        <v>0</v>
      </c>
      <c r="BR32" s="26">
        <f t="shared" si="28"/>
        <v>0</v>
      </c>
      <c r="BS32" s="26">
        <f t="shared" si="29"/>
        <v>0</v>
      </c>
    </row>
    <row r="33" spans="1:71" ht="12.75" customHeight="1">
      <c r="A33" s="1"/>
      <c r="B33" s="2"/>
      <c r="C33" s="3"/>
      <c r="D33" s="4"/>
      <c r="E33" s="5">
        <f t="shared" si="4"/>
      </c>
      <c r="F33" s="5">
        <f t="shared" si="1"/>
      </c>
      <c r="G33" s="135"/>
      <c r="H33" s="6">
        <f>IF(OR(C33=0,D33=0),"",VLOOKUP(C33,data!$J$54:$S$54,VLOOKUP(D33,data!$R$4:$S$12,2,FALSE)))</f>
      </c>
      <c r="I33" s="90">
        <f t="shared" si="5"/>
        <v>0</v>
      </c>
      <c r="J33" s="6">
        <f t="shared" si="6"/>
        <v>0</v>
      </c>
      <c r="K33" s="14" t="b">
        <f t="shared" si="7"/>
        <v>0</v>
      </c>
      <c r="L33" s="134">
        <f t="shared" si="8"/>
        <v>0</v>
      </c>
      <c r="M33" s="14" t="b">
        <f t="shared" si="9"/>
        <v>0</v>
      </c>
      <c r="N33" s="134">
        <f t="shared" si="10"/>
        <v>0</v>
      </c>
      <c r="O33" s="14" t="b">
        <f t="shared" si="11"/>
        <v>0</v>
      </c>
      <c r="P33" s="134">
        <f t="shared" si="12"/>
        <v>0</v>
      </c>
      <c r="Q33" s="14" t="b">
        <f t="shared" si="13"/>
        <v>0</v>
      </c>
      <c r="R33" s="134">
        <f t="shared" si="14"/>
        <v>0</v>
      </c>
      <c r="S33" s="14" t="b">
        <f t="shared" si="15"/>
        <v>0</v>
      </c>
      <c r="T33" s="134">
        <f t="shared" si="16"/>
        <v>0</v>
      </c>
      <c r="U33" s="14" t="b">
        <f t="shared" si="17"/>
        <v>0</v>
      </c>
      <c r="V33" s="134">
        <f t="shared" si="18"/>
        <v>0</v>
      </c>
      <c r="W33" s="14" t="b">
        <f t="shared" si="19"/>
        <v>0</v>
      </c>
      <c r="X33" s="134">
        <f t="shared" si="20"/>
        <v>0</v>
      </c>
      <c r="Y33" s="183">
        <f>IF(BE33="",1,VLOOKUP(BE33,data!$C$3:$D$10,2,FALSE))*(1+BF33)</f>
        <v>1</v>
      </c>
      <c r="Z33" s="87"/>
      <c r="AA33" s="87"/>
      <c r="AB33" s="87"/>
      <c r="AC33" s="87"/>
      <c r="AD33" s="86"/>
      <c r="AE33" s="149"/>
      <c r="AF33" s="87"/>
      <c r="AG33" s="87"/>
      <c r="AH33" s="87"/>
      <c r="AI33" s="87"/>
      <c r="AJ33" s="87"/>
      <c r="AK33" s="86"/>
      <c r="AL33" s="149"/>
      <c r="AM33" s="87"/>
      <c r="AN33" s="87"/>
      <c r="AO33" s="87"/>
      <c r="AP33" s="87"/>
      <c r="AQ33" s="87"/>
      <c r="AR33" s="86"/>
      <c r="AS33" s="149"/>
      <c r="AT33" s="87"/>
      <c r="AU33" s="87"/>
      <c r="AV33" s="87"/>
      <c r="AW33" s="87"/>
      <c r="AX33" s="87"/>
      <c r="AY33" s="86"/>
      <c r="AZ33" s="149"/>
      <c r="BA33" s="87"/>
      <c r="BB33" s="87"/>
      <c r="BC33" s="87"/>
      <c r="BD33" s="87"/>
      <c r="BE33" s="7"/>
      <c r="BF33" s="8"/>
      <c r="BG33" s="8"/>
      <c r="BH33" s="6">
        <f t="shared" si="21"/>
        <v>0</v>
      </c>
      <c r="BI33" s="6">
        <f t="shared" si="22"/>
        <v>0</v>
      </c>
      <c r="BJ33" s="6">
        <f t="shared" si="23"/>
        <v>0</v>
      </c>
      <c r="BK33" s="6">
        <f t="shared" si="2"/>
        <v>0</v>
      </c>
      <c r="BL33" s="6">
        <f t="shared" si="3"/>
        <v>0</v>
      </c>
      <c r="BN33" s="26">
        <f t="shared" si="24"/>
        <v>0</v>
      </c>
      <c r="BO33" s="26">
        <f t="shared" si="25"/>
        <v>0</v>
      </c>
      <c r="BP33" s="26">
        <f t="shared" si="26"/>
        <v>0</v>
      </c>
      <c r="BQ33" s="26">
        <f t="shared" si="27"/>
        <v>0</v>
      </c>
      <c r="BR33" s="26">
        <f t="shared" si="28"/>
        <v>0</v>
      </c>
      <c r="BS33" s="26">
        <f t="shared" si="29"/>
        <v>0</v>
      </c>
    </row>
    <row r="34" spans="1:71" ht="12.75" customHeight="1">
      <c r="A34" s="1"/>
      <c r="B34" s="2"/>
      <c r="C34" s="3"/>
      <c r="D34" s="4"/>
      <c r="E34" s="5">
        <f t="shared" si="4"/>
      </c>
      <c r="F34" s="5">
        <f t="shared" si="1"/>
      </c>
      <c r="G34" s="135"/>
      <c r="H34" s="6">
        <f>IF(OR(C34=0,D34=0),"",VLOOKUP(C34,data!$J$54:$S$54,VLOOKUP(D34,data!$R$4:$S$12,2,FALSE)))</f>
      </c>
      <c r="I34" s="90">
        <f t="shared" si="5"/>
        <v>0</v>
      </c>
      <c r="J34" s="6">
        <f t="shared" si="6"/>
        <v>0</v>
      </c>
      <c r="K34" s="14" t="b">
        <f t="shared" si="7"/>
        <v>0</v>
      </c>
      <c r="L34" s="134">
        <f t="shared" si="8"/>
        <v>0</v>
      </c>
      <c r="M34" s="14" t="b">
        <f t="shared" si="9"/>
        <v>0</v>
      </c>
      <c r="N34" s="134">
        <f t="shared" si="10"/>
        <v>0</v>
      </c>
      <c r="O34" s="14" t="b">
        <f t="shared" si="11"/>
        <v>0</v>
      </c>
      <c r="P34" s="134">
        <f t="shared" si="12"/>
        <v>0</v>
      </c>
      <c r="Q34" s="14" t="b">
        <f t="shared" si="13"/>
        <v>0</v>
      </c>
      <c r="R34" s="134">
        <f t="shared" si="14"/>
        <v>0</v>
      </c>
      <c r="S34" s="14" t="b">
        <f t="shared" si="15"/>
        <v>0</v>
      </c>
      <c r="T34" s="134">
        <f t="shared" si="16"/>
        <v>0</v>
      </c>
      <c r="U34" s="14" t="b">
        <f t="shared" si="17"/>
        <v>0</v>
      </c>
      <c r="V34" s="134">
        <f t="shared" si="18"/>
        <v>0</v>
      </c>
      <c r="W34" s="14" t="b">
        <f t="shared" si="19"/>
        <v>0</v>
      </c>
      <c r="X34" s="134">
        <f t="shared" si="20"/>
        <v>0</v>
      </c>
      <c r="Y34" s="183">
        <f>IF(BE34="",1,VLOOKUP(BE34,data!$C$3:$D$10,2,FALSE))*(1+BF34)</f>
        <v>1</v>
      </c>
      <c r="Z34" s="87"/>
      <c r="AA34" s="87"/>
      <c r="AB34" s="87"/>
      <c r="AC34" s="87"/>
      <c r="AD34" s="86"/>
      <c r="AE34" s="149"/>
      <c r="AF34" s="87"/>
      <c r="AG34" s="87"/>
      <c r="AH34" s="87"/>
      <c r="AI34" s="87"/>
      <c r="AJ34" s="87"/>
      <c r="AK34" s="86"/>
      <c r="AL34" s="149"/>
      <c r="AM34" s="87"/>
      <c r="AN34" s="87"/>
      <c r="AO34" s="87"/>
      <c r="AP34" s="87"/>
      <c r="AQ34" s="87"/>
      <c r="AR34" s="86"/>
      <c r="AS34" s="149"/>
      <c r="AT34" s="87"/>
      <c r="AU34" s="87"/>
      <c r="AV34" s="87"/>
      <c r="AW34" s="87"/>
      <c r="AX34" s="87"/>
      <c r="AY34" s="86"/>
      <c r="AZ34" s="149"/>
      <c r="BA34" s="87"/>
      <c r="BB34" s="87"/>
      <c r="BC34" s="87"/>
      <c r="BD34" s="87"/>
      <c r="BE34" s="7"/>
      <c r="BF34" s="8"/>
      <c r="BG34" s="8"/>
      <c r="BH34" s="6">
        <f t="shared" si="21"/>
        <v>0</v>
      </c>
      <c r="BI34" s="6">
        <f t="shared" si="22"/>
        <v>0</v>
      </c>
      <c r="BJ34" s="6">
        <f t="shared" si="23"/>
        <v>0</v>
      </c>
      <c r="BK34" s="6">
        <f t="shared" si="2"/>
        <v>0</v>
      </c>
      <c r="BL34" s="6">
        <f t="shared" si="3"/>
        <v>0</v>
      </c>
      <c r="BN34" s="26">
        <f t="shared" si="24"/>
        <v>0</v>
      </c>
      <c r="BO34" s="26">
        <f t="shared" si="25"/>
        <v>0</v>
      </c>
      <c r="BP34" s="26">
        <f t="shared" si="26"/>
        <v>0</v>
      </c>
      <c r="BQ34" s="26">
        <f t="shared" si="27"/>
        <v>0</v>
      </c>
      <c r="BR34" s="26">
        <f t="shared" si="28"/>
        <v>0</v>
      </c>
      <c r="BS34" s="26">
        <f t="shared" si="29"/>
        <v>0</v>
      </c>
    </row>
    <row r="35" spans="1:71" ht="12.75" customHeight="1">
      <c r="A35" s="1"/>
      <c r="B35" s="2"/>
      <c r="C35" s="3"/>
      <c r="D35" s="4"/>
      <c r="E35" s="5">
        <f t="shared" si="4"/>
      </c>
      <c r="F35" s="5">
        <f t="shared" si="1"/>
      </c>
      <c r="G35" s="135"/>
      <c r="H35" s="6">
        <f>IF(OR(C35=0,D35=0),"",VLOOKUP(C35,data!$J$54:$S$54,VLOOKUP(D35,data!$R$4:$S$12,2,FALSE)))</f>
      </c>
      <c r="I35" s="90">
        <f t="shared" si="5"/>
        <v>0</v>
      </c>
      <c r="J35" s="6">
        <f t="shared" si="6"/>
        <v>0</v>
      </c>
      <c r="K35" s="14" t="b">
        <f t="shared" si="7"/>
        <v>0</v>
      </c>
      <c r="L35" s="134">
        <f t="shared" si="8"/>
        <v>0</v>
      </c>
      <c r="M35" s="14" t="b">
        <f t="shared" si="9"/>
        <v>0</v>
      </c>
      <c r="N35" s="134">
        <f t="shared" si="10"/>
        <v>0</v>
      </c>
      <c r="O35" s="14" t="b">
        <f t="shared" si="11"/>
        <v>0</v>
      </c>
      <c r="P35" s="134">
        <f t="shared" si="12"/>
        <v>0</v>
      </c>
      <c r="Q35" s="14" t="b">
        <f t="shared" si="13"/>
        <v>0</v>
      </c>
      <c r="R35" s="134">
        <f t="shared" si="14"/>
        <v>0</v>
      </c>
      <c r="S35" s="14" t="b">
        <f t="shared" si="15"/>
        <v>0</v>
      </c>
      <c r="T35" s="134">
        <f t="shared" si="16"/>
        <v>0</v>
      </c>
      <c r="U35" s="14" t="b">
        <f t="shared" si="17"/>
        <v>0</v>
      </c>
      <c r="V35" s="134">
        <f t="shared" si="18"/>
        <v>0</v>
      </c>
      <c r="W35" s="14" t="b">
        <f t="shared" si="19"/>
        <v>0</v>
      </c>
      <c r="X35" s="134">
        <f t="shared" si="20"/>
        <v>0</v>
      </c>
      <c r="Y35" s="183">
        <f>IF(BE35="",1,VLOOKUP(BE35,data!$C$3:$D$10,2,FALSE))*(1+BF35)</f>
        <v>1</v>
      </c>
      <c r="Z35" s="87"/>
      <c r="AA35" s="87"/>
      <c r="AB35" s="87"/>
      <c r="AC35" s="87"/>
      <c r="AD35" s="86"/>
      <c r="AE35" s="149"/>
      <c r="AF35" s="87"/>
      <c r="AG35" s="87"/>
      <c r="AH35" s="87"/>
      <c r="AI35" s="87"/>
      <c r="AJ35" s="87"/>
      <c r="AK35" s="86"/>
      <c r="AL35" s="149"/>
      <c r="AM35" s="87"/>
      <c r="AN35" s="87"/>
      <c r="AO35" s="87"/>
      <c r="AP35" s="87"/>
      <c r="AQ35" s="87"/>
      <c r="AR35" s="86"/>
      <c r="AS35" s="149"/>
      <c r="AT35" s="87"/>
      <c r="AU35" s="87"/>
      <c r="AV35" s="87"/>
      <c r="AW35" s="87"/>
      <c r="AX35" s="87"/>
      <c r="AY35" s="86"/>
      <c r="AZ35" s="149"/>
      <c r="BA35" s="87"/>
      <c r="BB35" s="87"/>
      <c r="BC35" s="87"/>
      <c r="BD35" s="87"/>
      <c r="BE35" s="7"/>
      <c r="BF35" s="8"/>
      <c r="BG35" s="8"/>
      <c r="BH35" s="6">
        <f t="shared" si="21"/>
        <v>0</v>
      </c>
      <c r="BI35" s="6">
        <f t="shared" si="22"/>
        <v>0</v>
      </c>
      <c r="BJ35" s="6">
        <f t="shared" si="23"/>
        <v>0</v>
      </c>
      <c r="BK35" s="6">
        <f t="shared" si="2"/>
        <v>0</v>
      </c>
      <c r="BL35" s="6">
        <f t="shared" si="3"/>
        <v>0</v>
      </c>
      <c r="BN35" s="26">
        <f t="shared" si="24"/>
        <v>0</v>
      </c>
      <c r="BO35" s="26">
        <f t="shared" si="25"/>
        <v>0</v>
      </c>
      <c r="BP35" s="26">
        <f t="shared" si="26"/>
        <v>0</v>
      </c>
      <c r="BQ35" s="26">
        <f t="shared" si="27"/>
        <v>0</v>
      </c>
      <c r="BR35" s="26">
        <f t="shared" si="28"/>
        <v>0</v>
      </c>
      <c r="BS35" s="26">
        <f t="shared" si="29"/>
        <v>0</v>
      </c>
    </row>
    <row r="36" spans="1:71" ht="12.75" customHeight="1">
      <c r="A36" s="1"/>
      <c r="B36" s="2"/>
      <c r="C36" s="3"/>
      <c r="D36" s="4"/>
      <c r="E36" s="5">
        <f t="shared" si="4"/>
      </c>
      <c r="F36" s="5">
        <f t="shared" si="1"/>
      </c>
      <c r="G36" s="135"/>
      <c r="H36" s="6">
        <f>IF(OR(C36=0,D36=0),"",VLOOKUP(C36,data!$J$54:$S$54,VLOOKUP(D36,data!$R$4:$S$12,2,FALSE)))</f>
      </c>
      <c r="I36" s="90">
        <f t="shared" si="5"/>
        <v>0</v>
      </c>
      <c r="J36" s="6">
        <f t="shared" si="6"/>
        <v>0</v>
      </c>
      <c r="K36" s="14" t="b">
        <f t="shared" si="7"/>
        <v>0</v>
      </c>
      <c r="L36" s="134">
        <f t="shared" si="8"/>
        <v>0</v>
      </c>
      <c r="M36" s="14" t="b">
        <f t="shared" si="9"/>
        <v>0</v>
      </c>
      <c r="N36" s="134">
        <f t="shared" si="10"/>
        <v>0</v>
      </c>
      <c r="O36" s="14" t="b">
        <f t="shared" si="11"/>
        <v>0</v>
      </c>
      <c r="P36" s="134">
        <f t="shared" si="12"/>
        <v>0</v>
      </c>
      <c r="Q36" s="14" t="b">
        <f t="shared" si="13"/>
        <v>0</v>
      </c>
      <c r="R36" s="134">
        <f t="shared" si="14"/>
        <v>0</v>
      </c>
      <c r="S36" s="14" t="b">
        <f t="shared" si="15"/>
        <v>0</v>
      </c>
      <c r="T36" s="134">
        <f t="shared" si="16"/>
        <v>0</v>
      </c>
      <c r="U36" s="14" t="b">
        <f t="shared" si="17"/>
        <v>0</v>
      </c>
      <c r="V36" s="134">
        <f t="shared" si="18"/>
        <v>0</v>
      </c>
      <c r="W36" s="14" t="b">
        <f t="shared" si="19"/>
        <v>0</v>
      </c>
      <c r="X36" s="134">
        <f t="shared" si="20"/>
        <v>0</v>
      </c>
      <c r="Y36" s="183">
        <f>IF(BE36="",1,VLOOKUP(BE36,data!$C$3:$D$10,2,FALSE))*(1+BF36)</f>
        <v>1</v>
      </c>
      <c r="Z36" s="87"/>
      <c r="AA36" s="87"/>
      <c r="AB36" s="87"/>
      <c r="AC36" s="87"/>
      <c r="AD36" s="149"/>
      <c r="AE36" s="86"/>
      <c r="AF36" s="87"/>
      <c r="AG36" s="87"/>
      <c r="AH36" s="87"/>
      <c r="AI36" s="87"/>
      <c r="AJ36" s="87"/>
      <c r="AK36" s="149"/>
      <c r="AL36" s="86"/>
      <c r="AM36" s="87"/>
      <c r="AN36" s="87"/>
      <c r="AO36" s="87"/>
      <c r="AP36" s="87"/>
      <c r="AQ36" s="87"/>
      <c r="AR36" s="149"/>
      <c r="AS36" s="86"/>
      <c r="AT36" s="87"/>
      <c r="AU36" s="87"/>
      <c r="AV36" s="87"/>
      <c r="AW36" s="87"/>
      <c r="AX36" s="87"/>
      <c r="AY36" s="149"/>
      <c r="AZ36" s="86"/>
      <c r="BA36" s="87"/>
      <c r="BB36" s="87"/>
      <c r="BC36" s="87"/>
      <c r="BD36" s="87"/>
      <c r="BE36" s="7"/>
      <c r="BF36" s="8"/>
      <c r="BG36" s="8"/>
      <c r="BH36" s="6">
        <f t="shared" si="21"/>
        <v>0</v>
      </c>
      <c r="BI36" s="6">
        <f t="shared" si="22"/>
        <v>0</v>
      </c>
      <c r="BJ36" s="6">
        <f t="shared" si="23"/>
        <v>0</v>
      </c>
      <c r="BK36" s="6">
        <f t="shared" si="2"/>
        <v>0</v>
      </c>
      <c r="BL36" s="6">
        <f t="shared" si="3"/>
        <v>0</v>
      </c>
      <c r="BN36" s="26">
        <f t="shared" si="24"/>
        <v>0</v>
      </c>
      <c r="BO36" s="26">
        <f t="shared" si="25"/>
        <v>0</v>
      </c>
      <c r="BP36" s="26">
        <f t="shared" si="26"/>
        <v>0</v>
      </c>
      <c r="BQ36" s="26">
        <f t="shared" si="27"/>
        <v>0</v>
      </c>
      <c r="BR36" s="26">
        <f t="shared" si="28"/>
        <v>0</v>
      </c>
      <c r="BS36" s="26">
        <f t="shared" si="29"/>
        <v>0</v>
      </c>
    </row>
    <row r="37" spans="1:71" ht="12.75" customHeight="1">
      <c r="A37" s="1"/>
      <c r="B37" s="2"/>
      <c r="C37" s="3"/>
      <c r="D37" s="4"/>
      <c r="E37" s="5">
        <f t="shared" si="4"/>
      </c>
      <c r="F37" s="5">
        <f t="shared" si="1"/>
      </c>
      <c r="G37" s="135"/>
      <c r="H37" s="6">
        <f>IF(OR(C37=0,D37=0),"",VLOOKUP(C37,data!$J$54:$S$54,VLOOKUP(D37,data!$R$4:$S$12,2,FALSE)))</f>
      </c>
      <c r="I37" s="90">
        <f t="shared" si="5"/>
        <v>0</v>
      </c>
      <c r="J37" s="6">
        <f t="shared" si="6"/>
        <v>0</v>
      </c>
      <c r="K37" s="14" t="b">
        <f t="shared" si="7"/>
        <v>0</v>
      </c>
      <c r="L37" s="134">
        <f t="shared" si="8"/>
        <v>0</v>
      </c>
      <c r="M37" s="14" t="b">
        <f t="shared" si="9"/>
        <v>0</v>
      </c>
      <c r="N37" s="134">
        <f t="shared" si="10"/>
        <v>0</v>
      </c>
      <c r="O37" s="14" t="b">
        <f t="shared" si="11"/>
        <v>0</v>
      </c>
      <c r="P37" s="134">
        <f t="shared" si="12"/>
        <v>0</v>
      </c>
      <c r="Q37" s="14" t="b">
        <f t="shared" si="13"/>
        <v>0</v>
      </c>
      <c r="R37" s="134">
        <f t="shared" si="14"/>
        <v>0</v>
      </c>
      <c r="S37" s="14" t="b">
        <f t="shared" si="15"/>
        <v>0</v>
      </c>
      <c r="T37" s="134">
        <f t="shared" si="16"/>
        <v>0</v>
      </c>
      <c r="U37" s="14" t="b">
        <f t="shared" si="17"/>
        <v>0</v>
      </c>
      <c r="V37" s="134">
        <f t="shared" si="18"/>
        <v>0</v>
      </c>
      <c r="W37" s="14" t="b">
        <f t="shared" si="19"/>
        <v>0</v>
      </c>
      <c r="X37" s="134">
        <f t="shared" si="20"/>
        <v>0</v>
      </c>
      <c r="Y37" s="183">
        <f>IF(BE37="",1,VLOOKUP(BE37,data!$C$3:$D$10,2,FALSE))*(1+BF37)</f>
        <v>1</v>
      </c>
      <c r="Z37" s="87"/>
      <c r="AA37" s="87"/>
      <c r="AB37" s="87"/>
      <c r="AC37" s="87"/>
      <c r="AD37" s="149"/>
      <c r="AE37" s="86"/>
      <c r="AF37" s="87"/>
      <c r="AG37" s="87"/>
      <c r="AH37" s="87"/>
      <c r="AI37" s="87"/>
      <c r="AJ37" s="87"/>
      <c r="AK37" s="149"/>
      <c r="AL37" s="86"/>
      <c r="AM37" s="87"/>
      <c r="AN37" s="87"/>
      <c r="AO37" s="87"/>
      <c r="AP37" s="87"/>
      <c r="AQ37" s="87"/>
      <c r="AR37" s="149"/>
      <c r="AS37" s="86"/>
      <c r="AT37" s="87"/>
      <c r="AU37" s="87"/>
      <c r="AV37" s="87"/>
      <c r="AW37" s="87"/>
      <c r="AX37" s="87"/>
      <c r="AY37" s="149"/>
      <c r="AZ37" s="86"/>
      <c r="BA37" s="87"/>
      <c r="BB37" s="87"/>
      <c r="BC37" s="87"/>
      <c r="BD37" s="87"/>
      <c r="BE37" s="7"/>
      <c r="BF37" s="8"/>
      <c r="BG37" s="8"/>
      <c r="BH37" s="6">
        <f t="shared" si="21"/>
        <v>0</v>
      </c>
      <c r="BI37" s="6">
        <f t="shared" si="22"/>
        <v>0</v>
      </c>
      <c r="BJ37" s="6">
        <f t="shared" si="23"/>
        <v>0</v>
      </c>
      <c r="BK37" s="6">
        <f t="shared" si="2"/>
        <v>0</v>
      </c>
      <c r="BL37" s="6">
        <f t="shared" si="3"/>
        <v>0</v>
      </c>
      <c r="BN37" s="26">
        <f t="shared" si="24"/>
        <v>0</v>
      </c>
      <c r="BO37" s="26">
        <f t="shared" si="25"/>
        <v>0</v>
      </c>
      <c r="BP37" s="26">
        <f t="shared" si="26"/>
        <v>0</v>
      </c>
      <c r="BQ37" s="26">
        <f t="shared" si="27"/>
        <v>0</v>
      </c>
      <c r="BR37" s="26">
        <f t="shared" si="28"/>
        <v>0</v>
      </c>
      <c r="BS37" s="26">
        <f t="shared" si="29"/>
        <v>0</v>
      </c>
    </row>
    <row r="38" spans="1:71" ht="12.75" customHeight="1">
      <c r="A38" s="1"/>
      <c r="B38" s="2"/>
      <c r="C38" s="3"/>
      <c r="D38" s="4"/>
      <c r="E38" s="5">
        <f t="shared" si="4"/>
      </c>
      <c r="F38" s="5">
        <f t="shared" si="1"/>
      </c>
      <c r="G38" s="135"/>
      <c r="H38" s="6">
        <f>IF(OR(C38=0,D38=0),"",VLOOKUP(C38,data!$J$54:$S$54,VLOOKUP(D38,data!$R$4:$S$12,2,FALSE)))</f>
      </c>
      <c r="I38" s="90">
        <f t="shared" si="5"/>
        <v>0</v>
      </c>
      <c r="J38" s="6">
        <f t="shared" si="6"/>
        <v>0</v>
      </c>
      <c r="K38" s="14" t="b">
        <f t="shared" si="7"/>
        <v>0</v>
      </c>
      <c r="L38" s="134">
        <f t="shared" si="8"/>
        <v>0</v>
      </c>
      <c r="M38" s="14" t="b">
        <f t="shared" si="9"/>
        <v>0</v>
      </c>
      <c r="N38" s="134">
        <f t="shared" si="10"/>
        <v>0</v>
      </c>
      <c r="O38" s="14" t="b">
        <f t="shared" si="11"/>
        <v>0</v>
      </c>
      <c r="P38" s="134">
        <f t="shared" si="12"/>
        <v>0</v>
      </c>
      <c r="Q38" s="14" t="b">
        <f t="shared" si="13"/>
        <v>0</v>
      </c>
      <c r="R38" s="134">
        <f t="shared" si="14"/>
        <v>0</v>
      </c>
      <c r="S38" s="14" t="b">
        <f t="shared" si="15"/>
        <v>0</v>
      </c>
      <c r="T38" s="134">
        <f t="shared" si="16"/>
        <v>0</v>
      </c>
      <c r="U38" s="14" t="b">
        <f t="shared" si="17"/>
        <v>0</v>
      </c>
      <c r="V38" s="134">
        <f t="shared" si="18"/>
        <v>0</v>
      </c>
      <c r="W38" s="14" t="b">
        <f t="shared" si="19"/>
        <v>0</v>
      </c>
      <c r="X38" s="134">
        <f t="shared" si="20"/>
        <v>0</v>
      </c>
      <c r="Y38" s="183">
        <f>IF(BE38="",1,VLOOKUP(BE38,data!$C$3:$D$10,2,FALSE))*(1+BF38)</f>
        <v>1</v>
      </c>
      <c r="Z38" s="87"/>
      <c r="AA38" s="87"/>
      <c r="AB38" s="87"/>
      <c r="AC38" s="87"/>
      <c r="AD38" s="149"/>
      <c r="AE38" s="86"/>
      <c r="AF38" s="87"/>
      <c r="AG38" s="87"/>
      <c r="AH38" s="87"/>
      <c r="AI38" s="87"/>
      <c r="AJ38" s="87"/>
      <c r="AK38" s="149"/>
      <c r="AL38" s="86"/>
      <c r="AM38" s="87"/>
      <c r="AN38" s="87"/>
      <c r="AO38" s="87"/>
      <c r="AP38" s="87"/>
      <c r="AQ38" s="87"/>
      <c r="AR38" s="149"/>
      <c r="AS38" s="86"/>
      <c r="AT38" s="87"/>
      <c r="AU38" s="87"/>
      <c r="AV38" s="87"/>
      <c r="AW38" s="87"/>
      <c r="AX38" s="87"/>
      <c r="AY38" s="149"/>
      <c r="AZ38" s="86"/>
      <c r="BA38" s="87"/>
      <c r="BB38" s="87"/>
      <c r="BC38" s="87"/>
      <c r="BD38" s="87"/>
      <c r="BE38" s="7"/>
      <c r="BF38" s="8"/>
      <c r="BG38" s="8"/>
      <c r="BH38" s="6">
        <f t="shared" si="21"/>
        <v>0</v>
      </c>
      <c r="BI38" s="6">
        <f t="shared" si="22"/>
        <v>0</v>
      </c>
      <c r="BJ38" s="6">
        <f t="shared" si="23"/>
        <v>0</v>
      </c>
      <c r="BK38" s="6">
        <f t="shared" si="2"/>
        <v>0</v>
      </c>
      <c r="BL38" s="6">
        <f t="shared" si="3"/>
        <v>0</v>
      </c>
      <c r="BN38" s="26">
        <f t="shared" si="24"/>
        <v>0</v>
      </c>
      <c r="BO38" s="26">
        <f t="shared" si="25"/>
        <v>0</v>
      </c>
      <c r="BP38" s="26">
        <f t="shared" si="26"/>
        <v>0</v>
      </c>
      <c r="BQ38" s="26">
        <f t="shared" si="27"/>
        <v>0</v>
      </c>
      <c r="BR38" s="26">
        <f t="shared" si="28"/>
        <v>0</v>
      </c>
      <c r="BS38" s="26">
        <f t="shared" si="29"/>
        <v>0</v>
      </c>
    </row>
    <row r="39" spans="1:71" ht="12.75" customHeight="1">
      <c r="A39" s="1"/>
      <c r="B39" s="2"/>
      <c r="C39" s="3"/>
      <c r="D39" s="4"/>
      <c r="E39" s="5">
        <f t="shared" si="4"/>
      </c>
      <c r="F39" s="5">
        <f t="shared" si="1"/>
      </c>
      <c r="G39" s="135"/>
      <c r="H39" s="6">
        <f>IF(OR(C39=0,D39=0),"",VLOOKUP(C39,data!$J$54:$S$54,VLOOKUP(D39,data!$R$4:$S$12,2,FALSE)))</f>
      </c>
      <c r="I39" s="90">
        <f t="shared" si="5"/>
        <v>0</v>
      </c>
      <c r="J39" s="6">
        <f t="shared" si="6"/>
        <v>0</v>
      </c>
      <c r="K39" s="14" t="b">
        <f t="shared" si="7"/>
        <v>0</v>
      </c>
      <c r="L39" s="134">
        <f t="shared" si="8"/>
        <v>0</v>
      </c>
      <c r="M39" s="14" t="b">
        <f t="shared" si="9"/>
        <v>0</v>
      </c>
      <c r="N39" s="134">
        <f t="shared" si="10"/>
        <v>0</v>
      </c>
      <c r="O39" s="14" t="b">
        <f t="shared" si="11"/>
        <v>0</v>
      </c>
      <c r="P39" s="134">
        <f t="shared" si="12"/>
        <v>0</v>
      </c>
      <c r="Q39" s="14" t="b">
        <f t="shared" si="13"/>
        <v>0</v>
      </c>
      <c r="R39" s="134">
        <f t="shared" si="14"/>
        <v>0</v>
      </c>
      <c r="S39" s="14" t="b">
        <f t="shared" si="15"/>
        <v>0</v>
      </c>
      <c r="T39" s="134">
        <f t="shared" si="16"/>
        <v>0</v>
      </c>
      <c r="U39" s="14" t="b">
        <f t="shared" si="17"/>
        <v>0</v>
      </c>
      <c r="V39" s="134">
        <f t="shared" si="18"/>
        <v>0</v>
      </c>
      <c r="W39" s="14" t="b">
        <f t="shared" si="19"/>
        <v>0</v>
      </c>
      <c r="X39" s="134">
        <f t="shared" si="20"/>
        <v>0</v>
      </c>
      <c r="Y39" s="183">
        <f>IF(BE39="",1,VLOOKUP(BE39,data!$C$3:$D$10,2,FALSE))*(1+BF39)</f>
        <v>1</v>
      </c>
      <c r="Z39" s="87"/>
      <c r="AA39" s="87"/>
      <c r="AB39" s="87"/>
      <c r="AC39" s="87"/>
      <c r="AD39" s="149"/>
      <c r="AE39" s="86"/>
      <c r="AF39" s="87"/>
      <c r="AG39" s="87"/>
      <c r="AH39" s="87"/>
      <c r="AI39" s="87"/>
      <c r="AJ39" s="87"/>
      <c r="AK39" s="149"/>
      <c r="AL39" s="86"/>
      <c r="AM39" s="87"/>
      <c r="AN39" s="87"/>
      <c r="AO39" s="87"/>
      <c r="AP39" s="87"/>
      <c r="AQ39" s="87"/>
      <c r="AR39" s="149"/>
      <c r="AS39" s="86"/>
      <c r="AT39" s="87"/>
      <c r="AU39" s="87"/>
      <c r="AV39" s="87"/>
      <c r="AW39" s="87"/>
      <c r="AX39" s="87"/>
      <c r="AY39" s="149"/>
      <c r="AZ39" s="86"/>
      <c r="BA39" s="87"/>
      <c r="BB39" s="87"/>
      <c r="BC39" s="87"/>
      <c r="BD39" s="87"/>
      <c r="BE39" s="7"/>
      <c r="BF39" s="8"/>
      <c r="BG39" s="8"/>
      <c r="BH39" s="6">
        <f t="shared" si="21"/>
        <v>0</v>
      </c>
      <c r="BI39" s="6">
        <f t="shared" si="22"/>
        <v>0</v>
      </c>
      <c r="BJ39" s="6">
        <f t="shared" si="23"/>
        <v>0</v>
      </c>
      <c r="BK39" s="6">
        <f t="shared" si="2"/>
        <v>0</v>
      </c>
      <c r="BL39" s="6">
        <f t="shared" si="3"/>
        <v>0</v>
      </c>
      <c r="BN39" s="26">
        <f t="shared" si="24"/>
        <v>0</v>
      </c>
      <c r="BO39" s="26">
        <f t="shared" si="25"/>
        <v>0</v>
      </c>
      <c r="BP39" s="26">
        <f t="shared" si="26"/>
        <v>0</v>
      </c>
      <c r="BQ39" s="26">
        <f t="shared" si="27"/>
        <v>0</v>
      </c>
      <c r="BR39" s="26">
        <f t="shared" si="28"/>
        <v>0</v>
      </c>
      <c r="BS39" s="26">
        <f t="shared" si="29"/>
        <v>0</v>
      </c>
    </row>
    <row r="40" spans="1:71" ht="12.75" customHeight="1">
      <c r="A40" s="1"/>
      <c r="B40" s="2"/>
      <c r="C40" s="3"/>
      <c r="D40" s="4"/>
      <c r="E40" s="5">
        <f t="shared" si="4"/>
      </c>
      <c r="F40" s="5">
        <f t="shared" si="1"/>
      </c>
      <c r="G40" s="135"/>
      <c r="H40" s="6">
        <f>IF(OR(C40=0,D40=0),"",VLOOKUP(C40,data!$J$54:$S$54,VLOOKUP(D40,data!$R$4:$S$12,2,FALSE)))</f>
      </c>
      <c r="I40" s="90">
        <f t="shared" si="5"/>
        <v>0</v>
      </c>
      <c r="J40" s="6">
        <f t="shared" si="6"/>
        <v>0</v>
      </c>
      <c r="K40" s="14" t="b">
        <f t="shared" si="7"/>
        <v>0</v>
      </c>
      <c r="L40" s="134">
        <f t="shared" si="8"/>
        <v>0</v>
      </c>
      <c r="M40" s="14" t="b">
        <f t="shared" si="9"/>
        <v>0</v>
      </c>
      <c r="N40" s="134">
        <f t="shared" si="10"/>
        <v>0</v>
      </c>
      <c r="O40" s="14" t="b">
        <f t="shared" si="11"/>
        <v>0</v>
      </c>
      <c r="P40" s="134">
        <f t="shared" si="12"/>
        <v>0</v>
      </c>
      <c r="Q40" s="14" t="b">
        <f t="shared" si="13"/>
        <v>0</v>
      </c>
      <c r="R40" s="134">
        <f t="shared" si="14"/>
        <v>0</v>
      </c>
      <c r="S40" s="14" t="b">
        <f t="shared" si="15"/>
        <v>0</v>
      </c>
      <c r="T40" s="134">
        <f t="shared" si="16"/>
        <v>0</v>
      </c>
      <c r="U40" s="14" t="b">
        <f t="shared" si="17"/>
        <v>0</v>
      </c>
      <c r="V40" s="134">
        <f t="shared" si="18"/>
        <v>0</v>
      </c>
      <c r="W40" s="14" t="b">
        <f t="shared" si="19"/>
        <v>0</v>
      </c>
      <c r="X40" s="134">
        <f t="shared" si="20"/>
        <v>0</v>
      </c>
      <c r="Y40" s="183">
        <f>IF(BE40="",1,VLOOKUP(BE40,data!$C$3:$D$10,2,FALSE))*(1+BF40)</f>
        <v>1</v>
      </c>
      <c r="Z40" s="87"/>
      <c r="AA40" s="87"/>
      <c r="AB40" s="87"/>
      <c r="AC40" s="87"/>
      <c r="AD40" s="149"/>
      <c r="AE40" s="86"/>
      <c r="AF40" s="87"/>
      <c r="AG40" s="87"/>
      <c r="AH40" s="87"/>
      <c r="AI40" s="87"/>
      <c r="AJ40" s="87"/>
      <c r="AK40" s="149"/>
      <c r="AL40" s="86"/>
      <c r="AM40" s="87"/>
      <c r="AN40" s="87"/>
      <c r="AO40" s="87"/>
      <c r="AP40" s="87"/>
      <c r="AQ40" s="87"/>
      <c r="AR40" s="149"/>
      <c r="AS40" s="86"/>
      <c r="AT40" s="87"/>
      <c r="AU40" s="87"/>
      <c r="AV40" s="87"/>
      <c r="AW40" s="87"/>
      <c r="AX40" s="87"/>
      <c r="AY40" s="149"/>
      <c r="AZ40" s="86"/>
      <c r="BA40" s="87"/>
      <c r="BB40" s="87"/>
      <c r="BC40" s="87"/>
      <c r="BD40" s="87"/>
      <c r="BE40" s="7"/>
      <c r="BF40" s="8"/>
      <c r="BG40" s="8"/>
      <c r="BH40" s="6">
        <f t="shared" si="21"/>
        <v>0</v>
      </c>
      <c r="BI40" s="6">
        <f t="shared" si="22"/>
        <v>0</v>
      </c>
      <c r="BJ40" s="6">
        <f t="shared" si="23"/>
        <v>0</v>
      </c>
      <c r="BK40" s="6">
        <f t="shared" si="2"/>
        <v>0</v>
      </c>
      <c r="BL40" s="6">
        <f t="shared" si="3"/>
        <v>0</v>
      </c>
      <c r="BN40" s="26">
        <f t="shared" si="24"/>
        <v>0</v>
      </c>
      <c r="BO40" s="26">
        <f t="shared" si="25"/>
        <v>0</v>
      </c>
      <c r="BP40" s="26">
        <f t="shared" si="26"/>
        <v>0</v>
      </c>
      <c r="BQ40" s="26">
        <f t="shared" si="27"/>
        <v>0</v>
      </c>
      <c r="BR40" s="26">
        <f t="shared" si="28"/>
        <v>0</v>
      </c>
      <c r="BS40" s="26">
        <f t="shared" si="29"/>
        <v>0</v>
      </c>
    </row>
    <row r="41" spans="1:71" ht="12.75" customHeight="1">
      <c r="A41" s="1"/>
      <c r="B41" s="2"/>
      <c r="C41" s="3"/>
      <c r="D41" s="4"/>
      <c r="E41" s="5">
        <f t="shared" si="4"/>
      </c>
      <c r="F41" s="5">
        <f t="shared" si="1"/>
      </c>
      <c r="G41" s="135"/>
      <c r="H41" s="6">
        <f>IF(OR(C41=0,D41=0),"",VLOOKUP(C41,data!$J$54:$S$54,VLOOKUP(D41,data!$R$4:$S$12,2,FALSE)))</f>
      </c>
      <c r="I41" s="90">
        <f t="shared" si="5"/>
        <v>0</v>
      </c>
      <c r="J41" s="6">
        <f t="shared" si="6"/>
        <v>0</v>
      </c>
      <c r="K41" s="14" t="b">
        <f t="shared" si="7"/>
        <v>0</v>
      </c>
      <c r="L41" s="134">
        <f t="shared" si="8"/>
        <v>0</v>
      </c>
      <c r="M41" s="14" t="b">
        <f t="shared" si="9"/>
        <v>0</v>
      </c>
      <c r="N41" s="134">
        <f t="shared" si="10"/>
        <v>0</v>
      </c>
      <c r="O41" s="14" t="b">
        <f t="shared" si="11"/>
        <v>0</v>
      </c>
      <c r="P41" s="134">
        <f t="shared" si="12"/>
        <v>0</v>
      </c>
      <c r="Q41" s="14" t="b">
        <f t="shared" si="13"/>
        <v>0</v>
      </c>
      <c r="R41" s="134">
        <f t="shared" si="14"/>
        <v>0</v>
      </c>
      <c r="S41" s="14" t="b">
        <f t="shared" si="15"/>
        <v>0</v>
      </c>
      <c r="T41" s="134">
        <f t="shared" si="16"/>
        <v>0</v>
      </c>
      <c r="U41" s="14" t="b">
        <f t="shared" si="17"/>
        <v>0</v>
      </c>
      <c r="V41" s="134">
        <f t="shared" si="18"/>
        <v>0</v>
      </c>
      <c r="W41" s="14" t="b">
        <f t="shared" si="19"/>
        <v>0</v>
      </c>
      <c r="X41" s="134">
        <f t="shared" si="20"/>
        <v>0</v>
      </c>
      <c r="Y41" s="183">
        <f>IF(BE41="",1,VLOOKUP(BE41,data!$C$3:$D$10,2,FALSE))*(1+BF41)</f>
        <v>1</v>
      </c>
      <c r="Z41" s="87"/>
      <c r="AA41" s="87"/>
      <c r="AB41" s="87"/>
      <c r="AC41" s="87"/>
      <c r="AD41" s="149"/>
      <c r="AE41" s="86"/>
      <c r="AF41" s="87"/>
      <c r="AG41" s="87"/>
      <c r="AH41" s="87"/>
      <c r="AI41" s="87"/>
      <c r="AJ41" s="87"/>
      <c r="AK41" s="149"/>
      <c r="AL41" s="86"/>
      <c r="AM41" s="87"/>
      <c r="AN41" s="87"/>
      <c r="AO41" s="87"/>
      <c r="AP41" s="87"/>
      <c r="AQ41" s="87"/>
      <c r="AR41" s="149"/>
      <c r="AS41" s="86"/>
      <c r="AT41" s="87"/>
      <c r="AU41" s="87"/>
      <c r="AV41" s="87"/>
      <c r="AW41" s="87"/>
      <c r="AX41" s="87"/>
      <c r="AY41" s="149"/>
      <c r="AZ41" s="86"/>
      <c r="BA41" s="87"/>
      <c r="BB41" s="87"/>
      <c r="BC41" s="87"/>
      <c r="BD41" s="87"/>
      <c r="BE41" s="7"/>
      <c r="BF41" s="8"/>
      <c r="BG41" s="8"/>
      <c r="BH41" s="6">
        <f t="shared" si="21"/>
        <v>0</v>
      </c>
      <c r="BI41" s="6">
        <f t="shared" si="22"/>
        <v>0</v>
      </c>
      <c r="BJ41" s="6">
        <f t="shared" si="23"/>
        <v>0</v>
      </c>
      <c r="BK41" s="6">
        <f t="shared" si="2"/>
        <v>0</v>
      </c>
      <c r="BL41" s="6">
        <f t="shared" si="3"/>
        <v>0</v>
      </c>
      <c r="BN41" s="26">
        <f t="shared" si="24"/>
        <v>0</v>
      </c>
      <c r="BO41" s="26">
        <f t="shared" si="25"/>
        <v>0</v>
      </c>
      <c r="BP41" s="26">
        <f t="shared" si="26"/>
        <v>0</v>
      </c>
      <c r="BQ41" s="26">
        <f t="shared" si="27"/>
        <v>0</v>
      </c>
      <c r="BR41" s="26">
        <f t="shared" si="28"/>
        <v>0</v>
      </c>
      <c r="BS41" s="26">
        <f t="shared" si="29"/>
        <v>0</v>
      </c>
    </row>
    <row r="42" spans="1:71" ht="12.75" customHeight="1">
      <c r="A42" s="1"/>
      <c r="B42" s="2"/>
      <c r="C42" s="3"/>
      <c r="D42" s="4"/>
      <c r="E42" s="5">
        <f t="shared" si="4"/>
      </c>
      <c r="F42" s="5">
        <f t="shared" si="1"/>
      </c>
      <c r="G42" s="135"/>
      <c r="H42" s="6">
        <f>IF(OR(C42=0,D42=0),"",VLOOKUP(C42,data!$J$54:$S$54,VLOOKUP(D42,data!$R$4:$S$12,2,FALSE)))</f>
      </c>
      <c r="I42" s="90">
        <f t="shared" si="5"/>
        <v>0</v>
      </c>
      <c r="J42" s="6">
        <f t="shared" si="6"/>
        <v>0</v>
      </c>
      <c r="K42" s="14" t="b">
        <f t="shared" si="7"/>
        <v>0</v>
      </c>
      <c r="L42" s="134">
        <f t="shared" si="8"/>
        <v>0</v>
      </c>
      <c r="M42" s="14" t="b">
        <f t="shared" si="9"/>
        <v>0</v>
      </c>
      <c r="N42" s="134">
        <f t="shared" si="10"/>
        <v>0</v>
      </c>
      <c r="O42" s="14" t="b">
        <f t="shared" si="11"/>
        <v>0</v>
      </c>
      <c r="P42" s="134">
        <f t="shared" si="12"/>
        <v>0</v>
      </c>
      <c r="Q42" s="14" t="b">
        <f t="shared" si="13"/>
        <v>0</v>
      </c>
      <c r="R42" s="134">
        <f t="shared" si="14"/>
        <v>0</v>
      </c>
      <c r="S42" s="14" t="b">
        <f t="shared" si="15"/>
        <v>0</v>
      </c>
      <c r="T42" s="134">
        <f t="shared" si="16"/>
        <v>0</v>
      </c>
      <c r="U42" s="14" t="b">
        <f t="shared" si="17"/>
        <v>0</v>
      </c>
      <c r="V42" s="134">
        <f t="shared" si="18"/>
        <v>0</v>
      </c>
      <c r="W42" s="14" t="b">
        <f t="shared" si="19"/>
        <v>0</v>
      </c>
      <c r="X42" s="134">
        <f t="shared" si="20"/>
        <v>0</v>
      </c>
      <c r="Y42" s="183">
        <f>IF(BE42="",1,VLOOKUP(BE42,data!$C$3:$D$10,2,FALSE))*(1+BF42)</f>
        <v>1</v>
      </c>
      <c r="Z42" s="87"/>
      <c r="AA42" s="87"/>
      <c r="AB42" s="87"/>
      <c r="AC42" s="87"/>
      <c r="AD42" s="149"/>
      <c r="AE42" s="86"/>
      <c r="AF42" s="87"/>
      <c r="AG42" s="87"/>
      <c r="AH42" s="87"/>
      <c r="AI42" s="87"/>
      <c r="AJ42" s="87"/>
      <c r="AK42" s="149"/>
      <c r="AL42" s="86"/>
      <c r="AM42" s="87"/>
      <c r="AN42" s="87"/>
      <c r="AO42" s="87"/>
      <c r="AP42" s="87"/>
      <c r="AQ42" s="87"/>
      <c r="AR42" s="149"/>
      <c r="AS42" s="86"/>
      <c r="AT42" s="87"/>
      <c r="AU42" s="87"/>
      <c r="AV42" s="87"/>
      <c r="AW42" s="87"/>
      <c r="AX42" s="87"/>
      <c r="AY42" s="149"/>
      <c r="AZ42" s="86"/>
      <c r="BA42" s="87"/>
      <c r="BB42" s="87"/>
      <c r="BC42" s="87"/>
      <c r="BD42" s="87"/>
      <c r="BE42" s="7"/>
      <c r="BF42" s="8"/>
      <c r="BG42" s="8"/>
      <c r="BH42" s="6">
        <f t="shared" si="21"/>
        <v>0</v>
      </c>
      <c r="BI42" s="6">
        <f t="shared" si="22"/>
        <v>0</v>
      </c>
      <c r="BJ42" s="6">
        <f t="shared" si="23"/>
        <v>0</v>
      </c>
      <c r="BK42" s="6">
        <f t="shared" si="2"/>
        <v>0</v>
      </c>
      <c r="BL42" s="6">
        <f t="shared" si="3"/>
        <v>0</v>
      </c>
      <c r="BN42" s="26">
        <f t="shared" si="24"/>
        <v>0</v>
      </c>
      <c r="BO42" s="26">
        <f t="shared" si="25"/>
        <v>0</v>
      </c>
      <c r="BP42" s="26">
        <f t="shared" si="26"/>
        <v>0</v>
      </c>
      <c r="BQ42" s="26">
        <f t="shared" si="27"/>
        <v>0</v>
      </c>
      <c r="BR42" s="26">
        <f t="shared" si="28"/>
        <v>0</v>
      </c>
      <c r="BS42" s="26">
        <f t="shared" si="29"/>
        <v>0</v>
      </c>
    </row>
    <row r="43" spans="1:71" ht="12.75" customHeight="1">
      <c r="A43" s="1"/>
      <c r="B43" s="2"/>
      <c r="C43" s="3"/>
      <c r="D43" s="4"/>
      <c r="E43" s="5">
        <f t="shared" si="4"/>
      </c>
      <c r="F43" s="5">
        <f t="shared" si="1"/>
      </c>
      <c r="G43" s="135"/>
      <c r="H43" s="6">
        <f>IF(OR(C43=0,D43=0),"",VLOOKUP(C43,data!$J$54:$S$54,VLOOKUP(D43,data!$R$4:$S$12,2,FALSE)))</f>
      </c>
      <c r="I43" s="90">
        <f t="shared" si="5"/>
        <v>0</v>
      </c>
      <c r="J43" s="6">
        <f t="shared" si="6"/>
        <v>0</v>
      </c>
      <c r="K43" s="14" t="b">
        <f t="shared" si="7"/>
        <v>0</v>
      </c>
      <c r="L43" s="134">
        <f t="shared" si="8"/>
        <v>0</v>
      </c>
      <c r="M43" s="14" t="b">
        <f t="shared" si="9"/>
        <v>0</v>
      </c>
      <c r="N43" s="134">
        <f t="shared" si="10"/>
        <v>0</v>
      </c>
      <c r="O43" s="14" t="b">
        <f t="shared" si="11"/>
        <v>0</v>
      </c>
      <c r="P43" s="134">
        <f t="shared" si="12"/>
        <v>0</v>
      </c>
      <c r="Q43" s="14" t="b">
        <f t="shared" si="13"/>
        <v>0</v>
      </c>
      <c r="R43" s="134">
        <f t="shared" si="14"/>
        <v>0</v>
      </c>
      <c r="S43" s="14" t="b">
        <f t="shared" si="15"/>
        <v>0</v>
      </c>
      <c r="T43" s="134">
        <f t="shared" si="16"/>
        <v>0</v>
      </c>
      <c r="U43" s="14" t="b">
        <f t="shared" si="17"/>
        <v>0</v>
      </c>
      <c r="V43" s="134">
        <f t="shared" si="18"/>
        <v>0</v>
      </c>
      <c r="W43" s="14" t="b">
        <f t="shared" si="19"/>
        <v>0</v>
      </c>
      <c r="X43" s="134">
        <f t="shared" si="20"/>
        <v>0</v>
      </c>
      <c r="Y43" s="183">
        <f>IF(BE43="",1,VLOOKUP(BE43,data!$C$3:$D$10,2,FALSE))*(1+BF43)</f>
        <v>1</v>
      </c>
      <c r="Z43" s="87"/>
      <c r="AA43" s="87"/>
      <c r="AB43" s="87"/>
      <c r="AC43" s="87"/>
      <c r="AD43" s="149"/>
      <c r="AE43" s="86"/>
      <c r="AF43" s="87"/>
      <c r="AG43" s="87"/>
      <c r="AH43" s="87"/>
      <c r="AI43" s="87"/>
      <c r="AJ43" s="87"/>
      <c r="AK43" s="149"/>
      <c r="AL43" s="86"/>
      <c r="AM43" s="87"/>
      <c r="AN43" s="87"/>
      <c r="AO43" s="87"/>
      <c r="AP43" s="87"/>
      <c r="AQ43" s="87"/>
      <c r="AR43" s="149"/>
      <c r="AS43" s="86"/>
      <c r="AT43" s="87"/>
      <c r="AU43" s="87"/>
      <c r="AV43" s="87"/>
      <c r="AW43" s="87"/>
      <c r="AX43" s="87"/>
      <c r="AY43" s="149"/>
      <c r="AZ43" s="86"/>
      <c r="BA43" s="87"/>
      <c r="BB43" s="87"/>
      <c r="BC43" s="87"/>
      <c r="BD43" s="87"/>
      <c r="BE43" s="7"/>
      <c r="BF43" s="8"/>
      <c r="BG43" s="8"/>
      <c r="BH43" s="6">
        <f t="shared" si="21"/>
        <v>0</v>
      </c>
      <c r="BI43" s="6">
        <f t="shared" si="22"/>
        <v>0</v>
      </c>
      <c r="BJ43" s="6">
        <f t="shared" si="23"/>
        <v>0</v>
      </c>
      <c r="BK43" s="6">
        <f t="shared" si="2"/>
        <v>0</v>
      </c>
      <c r="BL43" s="6">
        <f t="shared" si="3"/>
        <v>0</v>
      </c>
      <c r="BN43" s="26">
        <f t="shared" si="24"/>
        <v>0</v>
      </c>
      <c r="BO43" s="26">
        <f t="shared" si="25"/>
        <v>0</v>
      </c>
      <c r="BP43" s="26">
        <f t="shared" si="26"/>
        <v>0</v>
      </c>
      <c r="BQ43" s="26">
        <f t="shared" si="27"/>
        <v>0</v>
      </c>
      <c r="BR43" s="26">
        <f t="shared" si="28"/>
        <v>0</v>
      </c>
      <c r="BS43" s="26">
        <f t="shared" si="29"/>
        <v>0</v>
      </c>
    </row>
    <row r="44" spans="1:71" ht="12.75" customHeight="1">
      <c r="A44" s="1"/>
      <c r="B44" s="2"/>
      <c r="C44" s="3"/>
      <c r="D44" s="4"/>
      <c r="E44" s="5">
        <f t="shared" si="4"/>
      </c>
      <c r="F44" s="5">
        <f t="shared" si="1"/>
      </c>
      <c r="G44" s="135"/>
      <c r="H44" s="6">
        <f>IF(OR(C44=0,D44=0),"",VLOOKUP(C44,data!$J$54:$S$54,VLOOKUP(D44,data!$R$4:$S$12,2,FALSE)))</f>
      </c>
      <c r="I44" s="90">
        <f t="shared" si="5"/>
        <v>0</v>
      </c>
      <c r="J44" s="6">
        <f t="shared" si="6"/>
        <v>0</v>
      </c>
      <c r="K44" s="14" t="b">
        <f t="shared" si="7"/>
        <v>0</v>
      </c>
      <c r="L44" s="134">
        <f t="shared" si="8"/>
        <v>0</v>
      </c>
      <c r="M44" s="14" t="b">
        <f t="shared" si="9"/>
        <v>0</v>
      </c>
      <c r="N44" s="134">
        <f t="shared" si="10"/>
        <v>0</v>
      </c>
      <c r="O44" s="14" t="b">
        <f t="shared" si="11"/>
        <v>0</v>
      </c>
      <c r="P44" s="134">
        <f t="shared" si="12"/>
        <v>0</v>
      </c>
      <c r="Q44" s="14" t="b">
        <f t="shared" si="13"/>
        <v>0</v>
      </c>
      <c r="R44" s="134">
        <f t="shared" si="14"/>
        <v>0</v>
      </c>
      <c r="S44" s="14" t="b">
        <f t="shared" si="15"/>
        <v>0</v>
      </c>
      <c r="T44" s="134">
        <f t="shared" si="16"/>
        <v>0</v>
      </c>
      <c r="U44" s="14" t="b">
        <f t="shared" si="17"/>
        <v>0</v>
      </c>
      <c r="V44" s="134">
        <f t="shared" si="18"/>
        <v>0</v>
      </c>
      <c r="W44" s="14" t="b">
        <f t="shared" si="19"/>
        <v>0</v>
      </c>
      <c r="X44" s="134">
        <f t="shared" si="20"/>
        <v>0</v>
      </c>
      <c r="Y44" s="183">
        <f>IF(BE44="",1,VLOOKUP(BE44,data!$C$3:$D$10,2,FALSE))*(1+BF44)</f>
        <v>1</v>
      </c>
      <c r="Z44" s="87"/>
      <c r="AA44" s="87"/>
      <c r="AB44" s="87"/>
      <c r="AC44" s="87"/>
      <c r="AD44" s="149"/>
      <c r="AE44" s="86"/>
      <c r="AF44" s="87"/>
      <c r="AG44" s="87"/>
      <c r="AH44" s="87"/>
      <c r="AI44" s="87"/>
      <c r="AJ44" s="87"/>
      <c r="AK44" s="149"/>
      <c r="AL44" s="86"/>
      <c r="AM44" s="87"/>
      <c r="AN44" s="87"/>
      <c r="AO44" s="87"/>
      <c r="AP44" s="87"/>
      <c r="AQ44" s="87"/>
      <c r="AR44" s="149"/>
      <c r="AS44" s="86"/>
      <c r="AT44" s="87"/>
      <c r="AU44" s="87"/>
      <c r="AV44" s="87"/>
      <c r="AW44" s="87"/>
      <c r="AX44" s="87"/>
      <c r="AY44" s="149"/>
      <c r="AZ44" s="86"/>
      <c r="BA44" s="87"/>
      <c r="BB44" s="87"/>
      <c r="BC44" s="87"/>
      <c r="BD44" s="87"/>
      <c r="BE44" s="7"/>
      <c r="BF44" s="8"/>
      <c r="BG44" s="8"/>
      <c r="BH44" s="6">
        <f t="shared" si="21"/>
        <v>0</v>
      </c>
      <c r="BI44" s="6">
        <f t="shared" si="22"/>
        <v>0</v>
      </c>
      <c r="BJ44" s="6">
        <f t="shared" si="23"/>
        <v>0</v>
      </c>
      <c r="BK44" s="6">
        <f t="shared" si="2"/>
        <v>0</v>
      </c>
      <c r="BL44" s="6">
        <f t="shared" si="3"/>
        <v>0</v>
      </c>
      <c r="BN44" s="26">
        <f t="shared" si="24"/>
        <v>0</v>
      </c>
      <c r="BO44" s="26">
        <f t="shared" si="25"/>
        <v>0</v>
      </c>
      <c r="BP44" s="26">
        <f t="shared" si="26"/>
        <v>0</v>
      </c>
      <c r="BQ44" s="26">
        <f t="shared" si="27"/>
        <v>0</v>
      </c>
      <c r="BR44" s="26">
        <f t="shared" si="28"/>
        <v>0</v>
      </c>
      <c r="BS44" s="26">
        <f t="shared" si="29"/>
        <v>0</v>
      </c>
    </row>
    <row r="45" spans="1:71" ht="12.75" customHeight="1">
      <c r="A45" s="1"/>
      <c r="B45" s="2"/>
      <c r="C45" s="3"/>
      <c r="D45" s="4"/>
      <c r="E45" s="5">
        <f t="shared" si="4"/>
      </c>
      <c r="F45" s="5">
        <f t="shared" si="1"/>
      </c>
      <c r="G45" s="135"/>
      <c r="H45" s="6">
        <f>IF(OR(C45=0,D45=0),"",VLOOKUP(C45,data!$J$54:$S$54,VLOOKUP(D45,data!$R$4:$S$12,2,FALSE)))</f>
      </c>
      <c r="I45" s="90">
        <f t="shared" si="5"/>
        <v>0</v>
      </c>
      <c r="J45" s="6">
        <f t="shared" si="6"/>
        <v>0</v>
      </c>
      <c r="K45" s="14" t="b">
        <f t="shared" si="7"/>
        <v>0</v>
      </c>
      <c r="L45" s="134">
        <f t="shared" si="8"/>
        <v>0</v>
      </c>
      <c r="M45" s="14" t="b">
        <f t="shared" si="9"/>
        <v>0</v>
      </c>
      <c r="N45" s="134">
        <f t="shared" si="10"/>
        <v>0</v>
      </c>
      <c r="O45" s="14" t="b">
        <f t="shared" si="11"/>
        <v>0</v>
      </c>
      <c r="P45" s="134">
        <f t="shared" si="12"/>
        <v>0</v>
      </c>
      <c r="Q45" s="14" t="b">
        <f t="shared" si="13"/>
        <v>0</v>
      </c>
      <c r="R45" s="134">
        <f t="shared" si="14"/>
        <v>0</v>
      </c>
      <c r="S45" s="14" t="b">
        <f t="shared" si="15"/>
        <v>0</v>
      </c>
      <c r="T45" s="134">
        <f t="shared" si="16"/>
        <v>0</v>
      </c>
      <c r="U45" s="14" t="b">
        <f t="shared" si="17"/>
        <v>0</v>
      </c>
      <c r="V45" s="134">
        <f t="shared" si="18"/>
        <v>0</v>
      </c>
      <c r="W45" s="14" t="b">
        <f t="shared" si="19"/>
        <v>0</v>
      </c>
      <c r="X45" s="134">
        <f t="shared" si="20"/>
        <v>0</v>
      </c>
      <c r="Y45" s="183">
        <f>IF(BE45="",1,VLOOKUP(BE45,data!$C$3:$D$10,2,FALSE))*(1+BF45)</f>
        <v>1</v>
      </c>
      <c r="Z45" s="87"/>
      <c r="AA45" s="87"/>
      <c r="AB45" s="87"/>
      <c r="AC45" s="87"/>
      <c r="AD45" s="149"/>
      <c r="AE45" s="86"/>
      <c r="AF45" s="87"/>
      <c r="AG45" s="87"/>
      <c r="AH45" s="87"/>
      <c r="AI45" s="87"/>
      <c r="AJ45" s="87"/>
      <c r="AK45" s="149"/>
      <c r="AL45" s="86"/>
      <c r="AM45" s="87"/>
      <c r="AN45" s="87"/>
      <c r="AO45" s="87"/>
      <c r="AP45" s="87"/>
      <c r="AQ45" s="87"/>
      <c r="AR45" s="149"/>
      <c r="AS45" s="86"/>
      <c r="AT45" s="87"/>
      <c r="AU45" s="87"/>
      <c r="AV45" s="87"/>
      <c r="AW45" s="87"/>
      <c r="AX45" s="87"/>
      <c r="AY45" s="149"/>
      <c r="AZ45" s="86"/>
      <c r="BA45" s="87"/>
      <c r="BB45" s="87"/>
      <c r="BC45" s="87"/>
      <c r="BD45" s="87"/>
      <c r="BE45" s="7"/>
      <c r="BF45" s="8"/>
      <c r="BG45" s="8"/>
      <c r="BH45" s="6">
        <f t="shared" si="21"/>
        <v>0</v>
      </c>
      <c r="BI45" s="94">
        <f t="shared" si="22"/>
        <v>0</v>
      </c>
      <c r="BJ45" s="94">
        <f t="shared" si="23"/>
        <v>0</v>
      </c>
      <c r="BK45" s="94">
        <f t="shared" si="2"/>
        <v>0</v>
      </c>
      <c r="BL45" s="94">
        <f t="shared" si="3"/>
        <v>0</v>
      </c>
      <c r="BN45" s="26">
        <f t="shared" si="24"/>
        <v>0</v>
      </c>
      <c r="BO45" s="26">
        <f t="shared" si="25"/>
        <v>0</v>
      </c>
      <c r="BP45" s="26">
        <f t="shared" si="26"/>
        <v>0</v>
      </c>
      <c r="BQ45" s="26">
        <f t="shared" si="27"/>
        <v>0</v>
      </c>
      <c r="BR45" s="26">
        <f t="shared" si="28"/>
        <v>0</v>
      </c>
      <c r="BS45" s="26">
        <f t="shared" si="29"/>
        <v>0</v>
      </c>
    </row>
    <row r="46" spans="1:64" ht="13.5" customHeight="1">
      <c r="A46" s="16"/>
      <c r="B46" s="9"/>
      <c r="C46" s="9"/>
      <c r="D46" s="17"/>
      <c r="E46" s="17"/>
      <c r="F46" s="17"/>
      <c r="G46" s="18"/>
      <c r="H46" s="129" t="str">
        <f>IF($B$6="BG","Тотал:","Total:")</f>
        <v>Тотал:</v>
      </c>
      <c r="I46" s="180">
        <f>SUM(I17:I45)</f>
        <v>0</v>
      </c>
      <c r="J46" s="192">
        <f>SUM(J17:J45)</f>
        <v>0</v>
      </c>
      <c r="K46" s="152"/>
      <c r="L46" s="152">
        <f aca="true" t="shared" si="30" ref="L46:X46">SUM(L17:L45)</f>
        <v>0</v>
      </c>
      <c r="M46" s="152"/>
      <c r="N46" s="152">
        <f t="shared" si="30"/>
        <v>0</v>
      </c>
      <c r="O46" s="152"/>
      <c r="P46" s="152">
        <f t="shared" si="30"/>
        <v>0</v>
      </c>
      <c r="Q46" s="152"/>
      <c r="R46" s="152">
        <f t="shared" si="30"/>
        <v>0</v>
      </c>
      <c r="S46" s="152"/>
      <c r="T46" s="152">
        <f t="shared" si="30"/>
        <v>0</v>
      </c>
      <c r="U46" s="152"/>
      <c r="V46" s="152">
        <f t="shared" si="30"/>
        <v>0</v>
      </c>
      <c r="W46" s="152"/>
      <c r="X46" s="152">
        <f t="shared" si="30"/>
        <v>0</v>
      </c>
      <c r="Y46" s="19"/>
      <c r="Z46" s="93">
        <f aca="true" t="shared" si="31" ref="Z46:AE46">COUNTA(Z17:Z45)</f>
        <v>0</v>
      </c>
      <c r="AA46" s="93">
        <f t="shared" si="31"/>
        <v>0</v>
      </c>
      <c r="AB46" s="93">
        <f t="shared" si="31"/>
        <v>0</v>
      </c>
      <c r="AC46" s="93">
        <f t="shared" si="31"/>
        <v>0</v>
      </c>
      <c r="AD46" s="93">
        <f t="shared" si="31"/>
        <v>0</v>
      </c>
      <c r="AE46" s="93">
        <f t="shared" si="31"/>
        <v>0</v>
      </c>
      <c r="AF46" s="93">
        <f>COUNTA(AF17:AF45)</f>
        <v>0</v>
      </c>
      <c r="AG46" s="93">
        <f aca="true" t="shared" si="32" ref="AG46:BD46">COUNTA(AG17:AG45)</f>
        <v>0</v>
      </c>
      <c r="AH46" s="93">
        <f t="shared" si="32"/>
        <v>0</v>
      </c>
      <c r="AI46" s="93">
        <f t="shared" si="32"/>
        <v>0</v>
      </c>
      <c r="AJ46" s="93">
        <f t="shared" si="32"/>
        <v>0</v>
      </c>
      <c r="AK46" s="93">
        <f t="shared" si="32"/>
        <v>0</v>
      </c>
      <c r="AL46" s="93">
        <f t="shared" si="32"/>
        <v>0</v>
      </c>
      <c r="AM46" s="93">
        <f t="shared" si="32"/>
        <v>0</v>
      </c>
      <c r="AN46" s="93">
        <f t="shared" si="32"/>
        <v>0</v>
      </c>
      <c r="AO46" s="93">
        <f t="shared" si="32"/>
        <v>0</v>
      </c>
      <c r="AP46" s="93">
        <f t="shared" si="32"/>
        <v>0</v>
      </c>
      <c r="AQ46" s="93">
        <f t="shared" si="32"/>
        <v>0</v>
      </c>
      <c r="AR46" s="93">
        <f t="shared" si="32"/>
        <v>0</v>
      </c>
      <c r="AS46" s="93">
        <f t="shared" si="32"/>
        <v>0</v>
      </c>
      <c r="AT46" s="93">
        <f t="shared" si="32"/>
        <v>0</v>
      </c>
      <c r="AU46" s="93">
        <f t="shared" si="32"/>
        <v>0</v>
      </c>
      <c r="AV46" s="93">
        <f t="shared" si="32"/>
        <v>0</v>
      </c>
      <c r="AW46" s="93">
        <f>COUNTA(AW17:AW45)</f>
        <v>0</v>
      </c>
      <c r="AX46" s="93">
        <f>COUNTA(AX17:AX45)</f>
        <v>0</v>
      </c>
      <c r="AY46" s="93">
        <f>COUNTA(AY17:AY45)</f>
        <v>0</v>
      </c>
      <c r="AZ46" s="93">
        <f>COUNTA(AZ17:AZ45)</f>
        <v>0</v>
      </c>
      <c r="BA46" s="93">
        <f>COUNTA(BA17:BA45)</f>
        <v>0</v>
      </c>
      <c r="BB46" s="93">
        <f t="shared" si="32"/>
        <v>0</v>
      </c>
      <c r="BC46" s="93">
        <f t="shared" si="32"/>
        <v>0</v>
      </c>
      <c r="BD46" s="93">
        <f t="shared" si="32"/>
        <v>0</v>
      </c>
      <c r="BE46" s="9"/>
      <c r="BF46" s="9"/>
      <c r="BG46" s="10"/>
      <c r="BH46" s="10"/>
      <c r="BI46" s="151">
        <f>SUM(BI17:BI45)</f>
        <v>0</v>
      </c>
      <c r="BJ46" s="151">
        <f>SUM(BJ17:BJ45)</f>
        <v>0</v>
      </c>
      <c r="BK46" s="151">
        <f>SUM(BK17:BK45)</f>
        <v>0</v>
      </c>
      <c r="BL46" s="151">
        <f>SUM(BL17:BL45)</f>
        <v>0</v>
      </c>
    </row>
    <row r="47" spans="1:61" ht="9.75" customHeight="1">
      <c r="A47" s="10"/>
      <c r="B47" s="10"/>
      <c r="C47" s="11"/>
      <c r="D47" s="11"/>
      <c r="E47" s="11"/>
      <c r="F47" s="11"/>
      <c r="G47" s="11"/>
      <c r="H47" s="128"/>
      <c r="I47" s="239" t="str">
        <f>IF($B$6="BG","Бюджет по седмици","Budget per week")</f>
        <v>Бюджет по седмици</v>
      </c>
      <c r="J47" s="239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Z47" s="249">
        <f>SUM(BN17:BN45)</f>
        <v>0</v>
      </c>
      <c r="AA47" s="250"/>
      <c r="AB47" s="250"/>
      <c r="AC47" s="250"/>
      <c r="AD47" s="250"/>
      <c r="AE47" s="251"/>
      <c r="AF47" s="249">
        <f>SUM(BO17:BO45)</f>
        <v>0</v>
      </c>
      <c r="AG47" s="250"/>
      <c r="AH47" s="250"/>
      <c r="AI47" s="250"/>
      <c r="AJ47" s="250"/>
      <c r="AK47" s="250"/>
      <c r="AL47" s="251"/>
      <c r="AM47" s="249">
        <f>SUM(BP17:BP45)</f>
        <v>0</v>
      </c>
      <c r="AN47" s="250"/>
      <c r="AO47" s="250"/>
      <c r="AP47" s="250"/>
      <c r="AQ47" s="250"/>
      <c r="AR47" s="250"/>
      <c r="AS47" s="251"/>
      <c r="AT47" s="249">
        <f>SUM(BQ17:BQ45)</f>
        <v>0</v>
      </c>
      <c r="AU47" s="250"/>
      <c r="AV47" s="250"/>
      <c r="AW47" s="250"/>
      <c r="AX47" s="250"/>
      <c r="AY47" s="250"/>
      <c r="AZ47" s="251"/>
      <c r="BA47" s="249">
        <f>SUM(BR17:BR45)</f>
        <v>0</v>
      </c>
      <c r="BB47" s="250"/>
      <c r="BC47" s="250"/>
      <c r="BD47" s="251"/>
      <c r="BE47" s="11"/>
      <c r="BF47" s="11"/>
      <c r="BG47" s="11"/>
      <c r="BH47" s="11"/>
      <c r="BI47" s="11"/>
    </row>
    <row r="48" spans="3:61" ht="17.25" customHeight="1">
      <c r="C48" s="11"/>
      <c r="D48" s="11"/>
      <c r="E48" s="11"/>
      <c r="F48" s="11"/>
      <c r="G48" s="11"/>
      <c r="H48" s="240" t="str">
        <f>IF($B$6="BG","Брой излъчвания по седмици","Number per week")</f>
        <v>Брой излъчвания по седмици</v>
      </c>
      <c r="I48" s="240"/>
      <c r="J48" s="24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Z48" s="249">
        <f>SUM(Z46:AE46)</f>
        <v>0</v>
      </c>
      <c r="AA48" s="250"/>
      <c r="AB48" s="250"/>
      <c r="AC48" s="250"/>
      <c r="AD48" s="250"/>
      <c r="AE48" s="251"/>
      <c r="AF48" s="249">
        <f>SUM(AF46:AL46)</f>
        <v>0</v>
      </c>
      <c r="AG48" s="250"/>
      <c r="AH48" s="250"/>
      <c r="AI48" s="250"/>
      <c r="AJ48" s="250"/>
      <c r="AK48" s="250"/>
      <c r="AL48" s="251"/>
      <c r="AM48" s="249">
        <f>SUM(AM46:AS46)</f>
        <v>0</v>
      </c>
      <c r="AN48" s="250"/>
      <c r="AO48" s="250"/>
      <c r="AP48" s="250"/>
      <c r="AQ48" s="250"/>
      <c r="AR48" s="250"/>
      <c r="AS48" s="251"/>
      <c r="AT48" s="249">
        <f>SUM(AT46:AZ46)</f>
        <v>0</v>
      </c>
      <c r="AU48" s="250"/>
      <c r="AV48" s="250"/>
      <c r="AW48" s="250"/>
      <c r="AX48" s="250"/>
      <c r="AY48" s="250"/>
      <c r="AZ48" s="251"/>
      <c r="BA48" s="249">
        <f>SUM(BA46:BD46)</f>
        <v>0</v>
      </c>
      <c r="BB48" s="250"/>
      <c r="BC48" s="250"/>
      <c r="BD48" s="251"/>
      <c r="BE48" s="11"/>
      <c r="BF48" s="11"/>
      <c r="BG48" s="11"/>
      <c r="BH48" s="11"/>
      <c r="BI48" s="11"/>
    </row>
    <row r="49" spans="1:2" ht="18" customHeight="1">
      <c r="A49" s="231" t="str">
        <f>IF($B$6="BG","Отстъпки","Discounts")</f>
        <v>Отстъпки</v>
      </c>
      <c r="B49" s="196" t="str">
        <f>IF($B$6="BG","Брутна сума","Gross budget")</f>
        <v>Брутна сума</v>
      </c>
    </row>
    <row r="50" spans="1:10" ht="14.25" customHeight="1">
      <c r="A50" s="232"/>
      <c r="B50" s="174">
        <f>J46</f>
        <v>0</v>
      </c>
      <c r="C50" s="243" t="str">
        <f>IF($B$6="BG","Разпределение на бюджета по канали и PT/OPT","Budget Distribution by Channel and PT/OPT")</f>
        <v>Разпределение на бюджета по канали и PT/OPT</v>
      </c>
      <c r="D50" s="244"/>
      <c r="E50" s="244"/>
      <c r="F50" s="244"/>
      <c r="G50" s="244"/>
      <c r="H50" s="244"/>
      <c r="I50" s="245"/>
      <c r="J50" s="21"/>
    </row>
    <row r="51" spans="1:61" s="219" customFormat="1" ht="14.25" customHeight="1">
      <c r="A51" s="216" t="str">
        <f>IF($B$6="BG","Отстъпки","Discounts")</f>
        <v>Отстъпки</v>
      </c>
      <c r="B51" s="217">
        <v>0</v>
      </c>
      <c r="C51" s="246"/>
      <c r="D51" s="247"/>
      <c r="E51" s="247"/>
      <c r="F51" s="247"/>
      <c r="G51" s="247"/>
      <c r="H51" s="247"/>
      <c r="I51" s="248"/>
      <c r="J51" s="218"/>
      <c r="K51" s="218"/>
      <c r="Q51" s="218"/>
      <c r="R51" s="218"/>
      <c r="S51" s="218"/>
      <c r="T51" s="218"/>
      <c r="U51" s="218"/>
      <c r="V51" s="218"/>
      <c r="W51" s="218"/>
      <c r="X51" s="218"/>
      <c r="BF51" s="218"/>
      <c r="BG51" s="218"/>
      <c r="BH51" s="218"/>
      <c r="BI51" s="218"/>
    </row>
    <row r="52" spans="1:61" s="219" customFormat="1" ht="14.25" customHeight="1">
      <c r="A52" s="216" t="str">
        <f>IF($B$6="BG","Отстъпки","Discounts")</f>
        <v>Отстъпки</v>
      </c>
      <c r="B52" s="217">
        <v>0</v>
      </c>
      <c r="C52" s="242" t="str">
        <f>IF($B$6="BG","Канал","Channel")</f>
        <v>Канал</v>
      </c>
      <c r="D52" s="242" t="str">
        <f>IF($B$6="BG","Брутен бюджет","Gross budget")</f>
        <v>Брутен бюджет</v>
      </c>
      <c r="E52" s="242" t="str">
        <f>IF($B$6="BG","% от общия бюджет","Channel distribution %")</f>
        <v>% от общия бюджет</v>
      </c>
      <c r="F52" s="242" t="str">
        <f>IF($B$6="BG","Бюджет в ПТ","Budget in PT")</f>
        <v>Бюджет в ПТ</v>
      </c>
      <c r="G52" s="242" t="str">
        <f>IF($B$6="BG","Бюджет в ОПТ","Budget in OPT")</f>
        <v>Бюджет в ОПТ</v>
      </c>
      <c r="H52" s="242" t="s">
        <v>50</v>
      </c>
      <c r="I52" s="242" t="s">
        <v>51</v>
      </c>
      <c r="J52" s="218"/>
      <c r="Q52" s="218"/>
      <c r="R52" s="218"/>
      <c r="S52" s="218"/>
      <c r="T52" s="218"/>
      <c r="U52" s="218"/>
      <c r="V52" s="218"/>
      <c r="W52" s="218"/>
      <c r="X52" s="218"/>
      <c r="BF52" s="218"/>
      <c r="BG52" s="218"/>
      <c r="BH52" s="218"/>
      <c r="BI52" s="218"/>
    </row>
    <row r="53" spans="1:61" s="219" customFormat="1" ht="14.25" customHeight="1">
      <c r="A53" s="220" t="str">
        <f>IF($B$6="BG","Общо отстъпки","Total Discounts")</f>
        <v>Общо отстъпки</v>
      </c>
      <c r="B53" s="221">
        <f>1-(1-B51)*(1-B52)</f>
        <v>0</v>
      </c>
      <c r="C53" s="242"/>
      <c r="D53" s="242"/>
      <c r="E53" s="242"/>
      <c r="F53" s="242"/>
      <c r="G53" s="242"/>
      <c r="H53" s="242"/>
      <c r="I53" s="242"/>
      <c r="J53" s="218"/>
      <c r="Q53" s="218"/>
      <c r="R53" s="218"/>
      <c r="S53" s="218"/>
      <c r="T53" s="218"/>
      <c r="U53" s="218"/>
      <c r="V53" s="218"/>
      <c r="W53" s="218"/>
      <c r="X53" s="218"/>
      <c r="BF53" s="218"/>
      <c r="BG53" s="218"/>
      <c r="BH53" s="218"/>
      <c r="BI53" s="218"/>
    </row>
    <row r="54" spans="1:61" s="219" customFormat="1" ht="14.25" customHeight="1">
      <c r="A54" s="216" t="str">
        <f>IF($B$6="BG","Изработка на платен репортаж","Paid report Producement")</f>
        <v>Изработка на платен репортаж</v>
      </c>
      <c r="B54" s="222">
        <v>0</v>
      </c>
      <c r="C54" s="216" t="str">
        <f>IF($B$6="BG","БНТ1 фикс. цени","BNT -fixed price")</f>
        <v>БНТ1 фикс. цени</v>
      </c>
      <c r="D54" s="223">
        <f>B50</f>
        <v>0</v>
      </c>
      <c r="E54" s="224">
        <f>_xlfn.IFERROR(D54/$D$58,0)</f>
        <v>0</v>
      </c>
      <c r="F54" s="225">
        <f>_xlfn.IFERROR(SUMIF($F$17:$F$45,"PT",$J$17:$J$45),0)</f>
        <v>0</v>
      </c>
      <c r="G54" s="225">
        <f>_xlfn.IFERROR(SUMIF($F$17:$F$45,"OPT",$J$17:$J$45),0)</f>
        <v>0</v>
      </c>
      <c r="H54" s="226">
        <f>_xlfn.IFERROR(F54/J46,0)</f>
        <v>0</v>
      </c>
      <c r="I54" s="226">
        <f>_xlfn.IFERROR(G54/J46,0)</f>
        <v>0</v>
      </c>
      <c r="Q54" s="218"/>
      <c r="R54" s="218"/>
      <c r="S54" s="218"/>
      <c r="T54" s="218"/>
      <c r="U54" s="218"/>
      <c r="V54" s="218"/>
      <c r="W54" s="218"/>
      <c r="X54" s="218"/>
      <c r="BF54" s="218"/>
      <c r="BG54" s="218"/>
      <c r="BH54" s="218"/>
      <c r="BI54" s="218"/>
    </row>
    <row r="55" spans="1:61" s="219" customFormat="1" ht="14.25" customHeight="1">
      <c r="A55" s="216" t="str">
        <f>IF($B$6="BG","Утежнения","Surcharge")</f>
        <v>Утежнения</v>
      </c>
      <c r="B55" s="227">
        <f>BJ46</f>
        <v>0</v>
      </c>
      <c r="C55" s="216" t="str">
        <f>IF($B$6="BG","БНТ 2 фикс. цени","BNT 2 fixed")</f>
        <v>БНТ 2 фикс. цени</v>
      </c>
      <c r="D55" s="223">
        <f>'БНТ 2_fixed'!B42</f>
        <v>0</v>
      </c>
      <c r="E55" s="224">
        <f>'БНТ 2_fixed'!E47</f>
        <v>0</v>
      </c>
      <c r="F55" s="225">
        <f>'БНТ 2_fixed'!F47</f>
        <v>0</v>
      </c>
      <c r="G55" s="225">
        <f>'БНТ 2_fixed'!G47</f>
        <v>0</v>
      </c>
      <c r="H55" s="226">
        <f>'БНТ 2_fixed'!H47</f>
        <v>0</v>
      </c>
      <c r="I55" s="226">
        <f>'БНТ 2_fixed'!I47</f>
        <v>0</v>
      </c>
      <c r="Q55" s="218"/>
      <c r="R55" s="218"/>
      <c r="S55" s="218"/>
      <c r="T55" s="218"/>
      <c r="U55" s="218"/>
      <c r="V55" s="218"/>
      <c r="W55" s="218"/>
      <c r="X55" s="218"/>
      <c r="BF55" s="218"/>
      <c r="BG55" s="218"/>
      <c r="BH55" s="218"/>
      <c r="BI55" s="218"/>
    </row>
    <row r="56" spans="1:61" s="219" customFormat="1" ht="14.25" customHeight="1">
      <c r="A56" s="216" t="str">
        <f>IF($B$6="BG","Закъснение","Delay")</f>
        <v>Закъснение</v>
      </c>
      <c r="B56" s="222">
        <f>BK45</f>
        <v>0</v>
      </c>
      <c r="C56" s="216" t="str">
        <f>IF($B$6="BG","БНТ 3 фикс. цени","BNT 3 fixed")</f>
        <v>БНТ 3 фикс. цени</v>
      </c>
      <c r="D56" s="223">
        <f>'БНТ 3_Ffixed'!B51</f>
        <v>0</v>
      </c>
      <c r="E56" s="224">
        <f>'БНТ 3_Ffixed'!E57</f>
        <v>0</v>
      </c>
      <c r="F56" s="225">
        <f>'БНТ 3_Ffixed'!F57</f>
        <v>0</v>
      </c>
      <c r="G56" s="225">
        <f>'БНТ 3_Ffixed'!G57</f>
        <v>0</v>
      </c>
      <c r="H56" s="226" t="str">
        <f>'БНТ 3_Ffixed'!H57</f>
        <v>0%</v>
      </c>
      <c r="I56" s="226" t="str">
        <f>'БНТ 3_Ffixed'!H57</f>
        <v>0%</v>
      </c>
      <c r="Q56" s="218"/>
      <c r="R56" s="218"/>
      <c r="S56" s="218"/>
      <c r="T56" s="218"/>
      <c r="U56" s="218"/>
      <c r="V56" s="218"/>
      <c r="W56" s="218"/>
      <c r="X56" s="218"/>
      <c r="BF56" s="218"/>
      <c r="BG56" s="218"/>
      <c r="BH56" s="218"/>
      <c r="BI56" s="218"/>
    </row>
    <row r="57" spans="1:61" s="219" customFormat="1" ht="14.25" customHeight="1">
      <c r="A57" s="220" t="str">
        <f>IF($B$6="BG","Нетна сума без ДДС","Net budget without VAT")</f>
        <v>Нетна сума без ДДС</v>
      </c>
      <c r="B57" s="228">
        <f>(B50*(100%-B51)*(100%-B52)+B54+B56)</f>
        <v>0</v>
      </c>
      <c r="C57" s="216" t="str">
        <f>IF($B$6="BG","БНТ 4 фикс. цени","BNT 4 fixed")</f>
        <v>БНТ 4 фикс. цени</v>
      </c>
      <c r="D57" s="223">
        <f>'БНТ 4_fixed'!B55</f>
        <v>0</v>
      </c>
      <c r="E57" s="224">
        <f>'БНТ 4_fixed'!E62</f>
        <v>0</v>
      </c>
      <c r="F57" s="225">
        <f>'БНТ 4_fixed'!F62</f>
        <v>0</v>
      </c>
      <c r="G57" s="225">
        <f>'БНТ 4_fixed'!G62</f>
        <v>0</v>
      </c>
      <c r="H57" s="226">
        <f>'БНТ 4_fixed'!H62</f>
        <v>0</v>
      </c>
      <c r="I57" s="226" t="str">
        <f>'БНТ 4_fixed'!I62</f>
        <v>0%</v>
      </c>
      <c r="Q57" s="218"/>
      <c r="R57" s="218"/>
      <c r="S57" s="218"/>
      <c r="T57" s="218"/>
      <c r="U57" s="218"/>
      <c r="V57" s="218"/>
      <c r="W57" s="218"/>
      <c r="X57" s="218"/>
      <c r="BF57" s="218"/>
      <c r="BG57" s="218"/>
      <c r="BH57" s="218"/>
      <c r="BI57" s="218"/>
    </row>
    <row r="58" spans="1:26" s="219" customFormat="1" ht="14.25" customHeight="1">
      <c r="A58" s="216" t="str">
        <f>IF($B$6="BG","ДДС","VAT")</f>
        <v>ДДС</v>
      </c>
      <c r="B58" s="229">
        <v>0.2</v>
      </c>
      <c r="C58" s="230" t="str">
        <f>IF($B$6="BG","Общо","Total")</f>
        <v>Общо</v>
      </c>
      <c r="D58" s="223">
        <f>SUM(D54:D57)</f>
        <v>0</v>
      </c>
      <c r="E58" s="224">
        <f>SUM(E54:E57)</f>
        <v>0</v>
      </c>
      <c r="F58" s="223">
        <f>SUM(F54:F57)</f>
        <v>0</v>
      </c>
      <c r="G58" s="223">
        <f>SUM(G54:G57)</f>
        <v>0</v>
      </c>
      <c r="H58" s="226">
        <f>IF(E58=0,"",(F58/D58))</f>
      </c>
      <c r="I58" s="226">
        <f>IF(E58=0,"",(G58/D58))</f>
      </c>
      <c r="Q58" s="218"/>
      <c r="R58" s="218"/>
      <c r="S58" s="218"/>
      <c r="T58" s="218"/>
      <c r="U58" s="218"/>
      <c r="V58" s="218"/>
      <c r="W58" s="218"/>
      <c r="X58" s="218"/>
      <c r="Z58" s="218"/>
    </row>
    <row r="59" spans="1:26" s="219" customFormat="1" ht="14.25" customHeight="1">
      <c r="A59" s="220" t="str">
        <f>IF($B$6="BG","Нетна сума с ДДС","Net budget with VAT")</f>
        <v>Нетна сума с ДДС</v>
      </c>
      <c r="B59" s="228">
        <f>B57+(B57*B58)</f>
        <v>0</v>
      </c>
      <c r="G59" s="218"/>
      <c r="H59" s="218"/>
      <c r="I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26" ht="12" customHeight="1">
      <c r="A60" s="24"/>
      <c r="B60" s="28"/>
      <c r="G60" s="21"/>
      <c r="H60" s="21"/>
      <c r="I60" s="21"/>
      <c r="J60" s="21"/>
      <c r="K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" customHeight="1">
      <c r="A61" s="29" t="str">
        <f>IF($B$6="BG","Приел:","Executed by:")</f>
        <v>Приел:</v>
      </c>
      <c r="B61" s="116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5" ht="12" customHeight="1">
      <c r="A62" s="29"/>
      <c r="B62" s="11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8" ht="12" customHeight="1">
      <c r="A63" s="29"/>
      <c r="B63" s="116"/>
      <c r="AA63" s="21"/>
      <c r="AB63" s="21"/>
    </row>
    <row r="64" ht="12" customHeight="1">
      <c r="B64" s="116"/>
    </row>
    <row r="65" spans="1:2" ht="12" customHeight="1">
      <c r="A65" s="29" t="str">
        <f>IF($B$6="BG","Светла Цветкова:","Tsvetkova Svetla:")</f>
        <v>Светла Цветкова:</v>
      </c>
      <c r="B65" s="116"/>
    </row>
    <row r="66" spans="1:2" ht="12" customHeight="1">
      <c r="A66" s="29" t="str">
        <f>IF($B$6="BG","Трафик Експерт:","Traffik Expert:")</f>
        <v>Трафик Експерт:</v>
      </c>
      <c r="B66" s="116"/>
    </row>
    <row r="67" spans="1:6" ht="12" customHeight="1">
      <c r="A67" s="29"/>
      <c r="B67" s="116"/>
      <c r="C67" s="29" t="str">
        <f>IF($B$6="BG","Заявил:","Requested by:")</f>
        <v>Заявил:</v>
      </c>
      <c r="D67" s="29"/>
      <c r="E67" s="116"/>
      <c r="F67" s="29"/>
    </row>
    <row r="68" spans="1:22" ht="13.5" customHeight="1">
      <c r="A68" s="29"/>
      <c r="B68" s="116"/>
      <c r="C68" s="29"/>
      <c r="D68" s="29"/>
      <c r="E68" s="116"/>
      <c r="F68" s="29"/>
      <c r="V68" s="30" t="s">
        <v>31</v>
      </c>
    </row>
    <row r="69" spans="2:22" ht="13.5" customHeight="1">
      <c r="B69" s="116"/>
      <c r="C69" s="29"/>
      <c r="D69" s="29"/>
      <c r="E69" s="116"/>
      <c r="F69" s="29"/>
      <c r="V69" s="30"/>
    </row>
    <row r="70" spans="1:22" ht="13.5" customHeight="1">
      <c r="A70" s="29" t="str">
        <f>IF($B$6="BG","Севда Димитрова:","Dimitrova Sevda:")</f>
        <v>Севда Димитрова:</v>
      </c>
      <c r="B70" s="116"/>
      <c r="E70" s="116"/>
      <c r="V70" s="30"/>
    </row>
    <row r="71" spans="1:5" ht="13.5" customHeight="1">
      <c r="A71" s="29" t="str">
        <f>IF($B$6="BG","и. д. Директор  Маркетинг и комуникации:","CEO Marketing and Communication:")</f>
        <v>и. д. Директор  Маркетинг и комуникации:</v>
      </c>
      <c r="B71" s="116"/>
      <c r="D71" s="29"/>
      <c r="E71" s="116"/>
    </row>
    <row r="72" spans="4:5" ht="13.5" customHeight="1">
      <c r="D72" s="29"/>
      <c r="E72" s="116"/>
    </row>
    <row r="73" spans="2:5" ht="13.5" customHeight="1">
      <c r="B73" s="29"/>
      <c r="D73" s="29"/>
      <c r="E73" s="116"/>
    </row>
    <row r="74" spans="2:5" ht="13.5" customHeight="1">
      <c r="B74" s="29"/>
      <c r="D74" s="29"/>
      <c r="E74" s="116"/>
    </row>
    <row r="75" ht="13.5" customHeight="1">
      <c r="E75" s="116"/>
    </row>
    <row r="76" ht="13.5" customHeight="1">
      <c r="E76" s="116"/>
    </row>
    <row r="77" spans="4:5" ht="13.5" customHeight="1">
      <c r="D77" s="29"/>
      <c r="E77" s="116"/>
    </row>
    <row r="78" ht="13.5" customHeight="1"/>
    <row r="79" ht="13.5" customHeight="1"/>
  </sheetData>
  <sheetProtection/>
  <protectedRanges>
    <protectedRange sqref="A10" name="Range1"/>
    <protectedRange sqref="A11" name="Range1_1"/>
    <protectedRange sqref="A12" name="Range1_2"/>
    <protectedRange sqref="A13" name="Range1_3"/>
    <protectedRange sqref="A14" name="Range1_4"/>
    <protectedRange sqref="A15" name="Range1_5"/>
    <protectedRange sqref="A61:B69 B70:B71 C67:F77 A70" name="Range7"/>
    <protectedRange sqref="A71" name="Range7_1"/>
  </protectedRanges>
  <autoFilter ref="A16:BL16"/>
  <mergeCells count="39">
    <mergeCell ref="Z47:AE47"/>
    <mergeCell ref="AF47:AL47"/>
    <mergeCell ref="AM47:AS47"/>
    <mergeCell ref="AT47:AZ47"/>
    <mergeCell ref="BA47:BD47"/>
    <mergeCell ref="Z15:BD15"/>
    <mergeCell ref="C50:I51"/>
    <mergeCell ref="Z48:AE48"/>
    <mergeCell ref="AF48:AL48"/>
    <mergeCell ref="AM48:AS48"/>
    <mergeCell ref="AT48:AZ48"/>
    <mergeCell ref="BA48:BD48"/>
    <mergeCell ref="I52:I53"/>
    <mergeCell ref="C52:C53"/>
    <mergeCell ref="D52:D53"/>
    <mergeCell ref="E52:E53"/>
    <mergeCell ref="F52:F53"/>
    <mergeCell ref="G52:G53"/>
    <mergeCell ref="H52:H53"/>
    <mergeCell ref="I47:J47"/>
    <mergeCell ref="H48:J48"/>
    <mergeCell ref="H12:I12"/>
    <mergeCell ref="H13:I13"/>
    <mergeCell ref="H11:I11"/>
    <mergeCell ref="E7:F7"/>
    <mergeCell ref="E8:F8"/>
    <mergeCell ref="E9:F9"/>
    <mergeCell ref="E10:F10"/>
    <mergeCell ref="H10:I10"/>
    <mergeCell ref="A49:A50"/>
    <mergeCell ref="E11:F11"/>
    <mergeCell ref="A2:J5"/>
    <mergeCell ref="H7:I7"/>
    <mergeCell ref="H8:I8"/>
    <mergeCell ref="H9:I9"/>
    <mergeCell ref="H14:I14"/>
    <mergeCell ref="E13:F13"/>
    <mergeCell ref="E14:F14"/>
    <mergeCell ref="E12:F12"/>
  </mergeCells>
  <conditionalFormatting sqref="V68:V70 A2">
    <cfRule type="cellIs" priority="497" dxfId="0" operator="equal" stopIfTrue="1">
      <formula>0</formula>
    </cfRule>
  </conditionalFormatting>
  <conditionalFormatting sqref="A61:A63 D67:D69 A65:A69 D71:D75">
    <cfRule type="cellIs" priority="398" dxfId="0" operator="equal" stopIfTrue="1">
      <formula>0</formula>
    </cfRule>
  </conditionalFormatting>
  <conditionalFormatting sqref="D77">
    <cfRule type="cellIs" priority="397" dxfId="0" operator="equal" stopIfTrue="1">
      <formula>0</formula>
    </cfRule>
  </conditionalFormatting>
  <conditionalFormatting sqref="C67:C69 F67:F69">
    <cfRule type="cellIs" priority="396" dxfId="0" operator="equal" stopIfTrue="1">
      <formula>0</formula>
    </cfRule>
  </conditionalFormatting>
  <conditionalFormatting sqref="A71">
    <cfRule type="cellIs" priority="17" dxfId="0" operator="equal" stopIfTrue="1">
      <formula>0</formula>
    </cfRule>
  </conditionalFormatting>
  <conditionalFormatting sqref="Z17:BD45">
    <cfRule type="cellIs" priority="9" dxfId="37" operator="equal" stopIfTrue="1">
      <formula>"G"</formula>
    </cfRule>
    <cfRule type="cellIs" priority="10" dxfId="37" operator="equal" stopIfTrue="1">
      <formula>"H"</formula>
    </cfRule>
    <cfRule type="cellIs" priority="11" dxfId="7" operator="equal" stopIfTrue="1">
      <formula>"F"</formula>
    </cfRule>
    <cfRule type="cellIs" priority="12" dxfId="6" operator="equal" stopIfTrue="1">
      <formula>"E"</formula>
    </cfRule>
    <cfRule type="cellIs" priority="13" dxfId="5" operator="equal" stopIfTrue="1">
      <formula>"D"</formula>
    </cfRule>
    <cfRule type="cellIs" priority="14" dxfId="4" operator="equal" stopIfTrue="1">
      <formula>"C"</formula>
    </cfRule>
    <cfRule type="cellIs" priority="15" dxfId="3" operator="equal" stopIfTrue="1">
      <formula>"B"</formula>
    </cfRule>
    <cfRule type="cellIs" priority="16" dxfId="2" operator="equal" stopIfTrue="1">
      <formula>"A"</formula>
    </cfRule>
  </conditionalFormatting>
  <conditionalFormatting sqref="E8:F8">
    <cfRule type="cellIs" priority="8" dxfId="2" operator="equal" stopIfTrue="1">
      <formula>"A"</formula>
    </cfRule>
  </conditionalFormatting>
  <conditionalFormatting sqref="E9:F9">
    <cfRule type="cellIs" priority="7" dxfId="3" operator="equal" stopIfTrue="1">
      <formula>"B"</formula>
    </cfRule>
  </conditionalFormatting>
  <conditionalFormatting sqref="E10:F10">
    <cfRule type="cellIs" priority="6" dxfId="4" operator="equal" stopIfTrue="1">
      <formula>"C"</formula>
    </cfRule>
  </conditionalFormatting>
  <conditionalFormatting sqref="E11:F11">
    <cfRule type="cellIs" priority="5" dxfId="5" operator="equal" stopIfTrue="1">
      <formula>"D"</formula>
    </cfRule>
  </conditionalFormatting>
  <conditionalFormatting sqref="E12:F12">
    <cfRule type="cellIs" priority="4" dxfId="6" operator="equal" stopIfTrue="1">
      <formula>"E"</formula>
    </cfRule>
  </conditionalFormatting>
  <conditionalFormatting sqref="E13:F13">
    <cfRule type="cellIs" priority="3" dxfId="7" operator="equal" stopIfTrue="1">
      <formula>"F"</formula>
    </cfRule>
  </conditionalFormatting>
  <conditionalFormatting sqref="E14:F14">
    <cfRule type="cellIs" priority="2" dxfId="37" operator="equal" stopIfTrue="1">
      <formula>"G"</formula>
    </cfRule>
  </conditionalFormatting>
  <conditionalFormatting sqref="A70">
    <cfRule type="cellIs" priority="1" dxfId="0" operator="equal" stopIfTrue="1">
      <formula>0</formula>
    </cfRule>
  </conditionalFormatting>
  <dataValidations count="12">
    <dataValidation type="list" allowBlank="1" showInputMessage="1" showErrorMessage="1" sqref="G17:G45">
      <formula1>reklama9</formula1>
    </dataValidation>
    <dataValidation type="list" showInputMessage="1" showErrorMessage="1" sqref="BF17:BG45">
      <formula1>percent1</formula1>
    </dataValidation>
    <dataValidation showInputMessage="1" showErrorMessage="1" sqref="BK17:BL45"/>
    <dataValidation type="list" showInputMessage="1" showErrorMessage="1" sqref="BE17:BE45">
      <formula1>Positions2</formula1>
    </dataValidation>
    <dataValidation type="list" showDropDown="1" showInputMessage="1" showErrorMessage="1" sqref="Z17:BD45">
      <formula1>codes3</formula1>
    </dataValidation>
    <dataValidation type="list" allowBlank="1" showInputMessage="1" showErrorMessage="1" sqref="G46">
      <formula1>Reklama</formula1>
    </dataValidation>
    <dataValidation type="list" allowBlank="1" showInputMessage="1" showErrorMessage="1" sqref="G8:G14">
      <formula1>duration3</formula1>
    </dataValidation>
    <dataValidation allowBlank="1" showInputMessage="1" showErrorMessage="1" sqref="B52"/>
    <dataValidation type="list" allowBlank="1" showInputMessage="1" showErrorMessage="1" sqref="D17:D45">
      <formula1>time7</formula1>
    </dataValidation>
    <dataValidation type="list" allowBlank="1" showInputMessage="1" showErrorMessage="1" sqref="B6:B7">
      <formula1>$AE$7:$AE$8</formula1>
    </dataValidation>
    <dataValidation type="list" allowBlank="1" showInputMessage="1" showErrorMessage="1" sqref="C8:C14">
      <formula1>"Да/Yes"</formula1>
    </dataValidation>
    <dataValidation type="list" allowBlank="1" showInputMessage="1" showErrorMessage="1" sqref="C17:C45">
      <formula1>"mon-sun"</formula1>
    </dataValidation>
  </dataValidations>
  <printOptions/>
  <pageMargins left="0.1968503937007874" right="0.15748031496062992" top="0.5511811023622047" bottom="1.062992125984252" header="0.5118110236220472" footer="0.5118110236220472"/>
  <pageSetup fitToHeight="0" fitToWidth="1" horizontalDpi="600" verticalDpi="600" orientation="landscape" paperSize="9" scale="37" r:id="rId4"/>
  <ignoredErrors>
    <ignoredError sqref="E17:E45 F17:F45 I55 BK17 BK18:BK45" emptyCellReference="1"/>
    <ignoredError sqref="BI46:BL46 J8:J14 Z49:BD49 H47 I48:J48 J46:J47 H48 I47 A69 A64:B65 B69:B71 A61:B61 A72:B72 C67 A8:A15 K18:X45 A16:J16 H7 C7:G7 I7:J7 H46:I46 BE16:BL16 C52:I53 C58 C50 Z47 C70:C72 C75:C78 L17:X17 Y18:Y45 L46:X46 C54:C57 BS17 BS18:BS45 BN17:BR17 BN18:BR45 Z48:AE48 BB47:BD47 AU47:AZ47 AN47:AS47 AG47:AL47 AF48:BD48 AF47 AM47 AT47 BA47 Z15 A66:B66 A70:A71 A49:B59" unlockedFormula="1"/>
    <ignoredError sqref="E9:F14 H8:H14 AB46:BD46 Z46:AA46" emptyCellReference="1" unlockedFormula="1"/>
    <ignoredError sqref="AB46:BD46 Z46:AA46" emptyCellReference="1" formulaRange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BCA36"/>
    <pageSetUpPr fitToPage="1"/>
  </sheetPr>
  <dimension ref="A2:BQ63"/>
  <sheetViews>
    <sheetView showGridLines="0" zoomScale="85" zoomScaleNormal="85" zoomScalePageLayoutView="85" workbookViewId="0" topLeftCell="A1">
      <selection activeCell="G9" sqref="G9"/>
    </sheetView>
  </sheetViews>
  <sheetFormatPr defaultColWidth="9.140625" defaultRowHeight="12.75"/>
  <cols>
    <col min="1" max="1" width="44.7109375" style="31" customWidth="1"/>
    <col min="2" max="2" width="18.140625" style="31" customWidth="1"/>
    <col min="3" max="3" width="16.8515625" style="31" customWidth="1"/>
    <col min="4" max="4" width="14.57421875" style="31" customWidth="1"/>
    <col min="5" max="5" width="13.8515625" style="31" customWidth="1"/>
    <col min="6" max="6" width="14.421875" style="31" customWidth="1"/>
    <col min="7" max="7" width="17.140625" style="31" customWidth="1"/>
    <col min="8" max="8" width="9.8515625" style="31" customWidth="1"/>
    <col min="9" max="9" width="8.00390625" style="31" customWidth="1"/>
    <col min="10" max="10" width="11.8515625" style="31" customWidth="1"/>
    <col min="11" max="14" width="7.140625" style="31" hidden="1" customWidth="1"/>
    <col min="15" max="15" width="6.421875" style="31" hidden="1" customWidth="1"/>
    <col min="16" max="18" width="7.140625" style="31" hidden="1" customWidth="1"/>
    <col min="19" max="19" width="6.57421875" style="31" hidden="1" customWidth="1"/>
    <col min="20" max="20" width="7.140625" style="31" hidden="1" customWidth="1"/>
    <col min="21" max="21" width="6.57421875" style="31" hidden="1" customWidth="1"/>
    <col min="22" max="23" width="7.140625" style="31" hidden="1" customWidth="1"/>
    <col min="24" max="54" width="3.8515625" style="31" customWidth="1"/>
    <col min="55" max="55" width="14.28125" style="31" customWidth="1"/>
    <col min="56" max="57" width="13.140625" style="31" customWidth="1"/>
    <col min="58" max="58" width="14.7109375" style="31" customWidth="1"/>
    <col min="59" max="59" width="13.57421875" style="31" customWidth="1"/>
    <col min="60" max="60" width="12.00390625" style="31" customWidth="1"/>
    <col min="61" max="61" width="12.8515625" style="31" customWidth="1"/>
    <col min="62" max="62" width="11.140625" style="31" customWidth="1"/>
    <col min="63" max="63" width="9.140625" style="31" hidden="1" customWidth="1"/>
    <col min="64" max="64" width="9.8515625" style="31" hidden="1" customWidth="1"/>
    <col min="65" max="65" width="12.8515625" style="31" hidden="1" customWidth="1"/>
    <col min="66" max="68" width="9.28125" style="31" hidden="1" customWidth="1"/>
    <col min="69" max="69" width="9.140625" style="31" hidden="1" customWidth="1"/>
    <col min="70" max="70" width="9.28125" style="31" customWidth="1"/>
    <col min="71" max="83" width="9.140625" style="31" customWidth="1"/>
    <col min="84" max="16384" width="9.140625" style="31" customWidth="1"/>
  </cols>
  <sheetData>
    <row r="1" ht="8.25" customHeight="1"/>
    <row r="2" spans="1:26" ht="12.75" customHeight="1">
      <c r="A2" s="261" t="str">
        <f>IF($B$7="BG","месец ЯНУАРИ","JANUARY")</f>
        <v>месец ЯНУАРИ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24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2.7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32" ht="13.5" customHeight="1">
      <c r="A6" s="262"/>
      <c r="B6" s="262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F6"/>
    </row>
    <row r="7" spans="1:27" ht="17.25" customHeight="1">
      <c r="A7" s="153" t="s">
        <v>71</v>
      </c>
      <c r="B7" s="154" t="s">
        <v>73</v>
      </c>
      <c r="C7" s="131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51"/>
    </row>
    <row r="8" spans="1:31" ht="25.5" customHeight="1">
      <c r="A8" s="154"/>
      <c r="B8" s="154"/>
      <c r="C8" s="256" t="str">
        <f>IF($B$7="BG","Име на клип","Name ot spot")</f>
        <v>Име на клип</v>
      </c>
      <c r="D8" s="257"/>
      <c r="E8" s="256" t="str">
        <f>IF($B$7="BG","Код","Code")</f>
        <v>Код</v>
      </c>
      <c r="F8" s="257"/>
      <c r="G8" s="154" t="str">
        <f>IF($B$7="BG","Секунди","Secоnds")</f>
        <v>Секунди</v>
      </c>
      <c r="H8" s="256" t="str">
        <f>IF($B$7="BG","Коефициент 30 сек.","Coefficient to 30 sec.")</f>
        <v>Коефициент 30 сек.</v>
      </c>
      <c r="I8" s="257"/>
      <c r="J8" s="154" t="str">
        <f>IF($B$7="BG","Брой","Count")</f>
        <v>Брой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256" t="str">
        <f>IF($B$7="BG","Бонус/
Компенс.","Bonus/
Compens.")</f>
        <v>Бонус/
Компенс.</v>
      </c>
      <c r="Y8" s="260"/>
      <c r="Z8" s="257"/>
      <c r="AE8" s="120" t="s">
        <v>73</v>
      </c>
    </row>
    <row r="9" spans="1:31" ht="12" customHeight="1">
      <c r="A9" s="34" t="str">
        <f>IF($B$7="BG","Агенция","Agency")</f>
        <v>Агенция</v>
      </c>
      <c r="B9" s="32"/>
      <c r="C9" s="344"/>
      <c r="D9" s="345"/>
      <c r="E9" s="258" t="s">
        <v>64</v>
      </c>
      <c r="F9" s="259"/>
      <c r="G9" s="35"/>
      <c r="H9" s="269">
        <f>IF(G9="",0,VLOOKUP(G9,data!$B$17:$C$102,2,FALSE))</f>
        <v>0</v>
      </c>
      <c r="I9" s="270"/>
      <c r="J9" s="35" t="b">
        <f aca="true" t="shared" si="0" ref="J9:J14">IF(G9&gt;0,(COUNTIF($X$17:$BB$36,E9)))</f>
        <v>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253"/>
      <c r="Y9" s="254"/>
      <c r="Z9" s="255"/>
      <c r="AE9" s="120" t="s">
        <v>72</v>
      </c>
    </row>
    <row r="10" spans="1:26" ht="12" customHeight="1">
      <c r="A10" s="34" t="str">
        <f>IF($B$7="BG","Лице за контакт","Contact person")</f>
        <v>Лице за контакт</v>
      </c>
      <c r="B10" s="32"/>
      <c r="C10" s="344"/>
      <c r="D10" s="345"/>
      <c r="E10" s="258" t="str">
        <f>IF(G10&lt;&gt;"","B","-")</f>
        <v>-</v>
      </c>
      <c r="F10" s="259"/>
      <c r="G10" s="35"/>
      <c r="H10" s="269">
        <f>IF(G10="",0,VLOOKUP(G10,data!$B$17:$C$102,2,FALSE))</f>
        <v>0</v>
      </c>
      <c r="I10" s="270"/>
      <c r="J10" s="35" t="b">
        <f t="shared" si="0"/>
        <v>0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253"/>
      <c r="Y10" s="254"/>
      <c r="Z10" s="255"/>
    </row>
    <row r="11" spans="1:26" ht="12" customHeight="1">
      <c r="A11" s="34" t="str">
        <f>IF($B$7="BG","Входящ №","Reference №")</f>
        <v>Входящ №</v>
      </c>
      <c r="B11" s="32"/>
      <c r="C11" s="344"/>
      <c r="D11" s="345"/>
      <c r="E11" s="258" t="str">
        <f>IF(G11&lt;&gt;"","C","-")</f>
        <v>-</v>
      </c>
      <c r="F11" s="259"/>
      <c r="G11" s="35"/>
      <c r="H11" s="269">
        <f>IF(G11="",0,VLOOKUP(G11,data!$B$17:$C$102,2,FALSE))</f>
        <v>0</v>
      </c>
      <c r="I11" s="270"/>
      <c r="J11" s="35" t="b">
        <f t="shared" si="0"/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253"/>
      <c r="Y11" s="254"/>
      <c r="Z11" s="255"/>
    </row>
    <row r="12" spans="1:26" ht="12" customHeight="1">
      <c r="A12" s="34" t="str">
        <f>IF($B$7="BG","Кампания","Campaign")</f>
        <v>Кампания</v>
      </c>
      <c r="B12" s="32"/>
      <c r="C12" s="344"/>
      <c r="D12" s="345"/>
      <c r="E12" s="265" t="str">
        <f>IF(G12&lt;&gt;"","D","-")</f>
        <v>-</v>
      </c>
      <c r="F12" s="266"/>
      <c r="G12" s="35"/>
      <c r="H12" s="269">
        <f>IF(G12="",0,VLOOKUP(G12,data!$B$17:$C$102,2,FALSE))</f>
        <v>0</v>
      </c>
      <c r="I12" s="270"/>
      <c r="J12" s="35" t="b">
        <f t="shared" si="0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253"/>
      <c r="Y12" s="254"/>
      <c r="Z12" s="255"/>
    </row>
    <row r="13" spans="1:26" ht="12" customHeight="1">
      <c r="A13" s="34" t="str">
        <f>IF($B$7="BG","Клиент","Client")</f>
        <v>Клиент</v>
      </c>
      <c r="B13" s="32"/>
      <c r="C13" s="344"/>
      <c r="D13" s="345"/>
      <c r="E13" s="265" t="str">
        <f>IF(G13&lt;&gt;"","E","-")</f>
        <v>-</v>
      </c>
      <c r="F13" s="266"/>
      <c r="G13" s="35"/>
      <c r="H13" s="269">
        <f>IF(G13="",0,VLOOKUP(G13,data!$B$17:$C$102,2,FALSE))</f>
        <v>0</v>
      </c>
      <c r="I13" s="270"/>
      <c r="J13" s="35" t="b">
        <f t="shared" si="0"/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253"/>
      <c r="Y13" s="254"/>
      <c r="Z13" s="255"/>
    </row>
    <row r="14" spans="1:26" ht="12" customHeight="1">
      <c r="A14" s="34" t="str">
        <f>IF($B$7="BG","Период","Period")</f>
        <v>Период</v>
      </c>
      <c r="B14" s="32"/>
      <c r="C14" s="344"/>
      <c r="D14" s="345"/>
      <c r="E14" s="265" t="str">
        <f>IF(G14&lt;&gt;"","F","-")</f>
        <v>-</v>
      </c>
      <c r="F14" s="266"/>
      <c r="G14" s="35"/>
      <c r="H14" s="269">
        <f>IF(G14="",0,VLOOKUP(G14,data!$B$17:$C$102,2,FALSE))</f>
        <v>0</v>
      </c>
      <c r="I14" s="270"/>
      <c r="J14" s="35" t="b">
        <f t="shared" si="0"/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253"/>
      <c r="Y14" s="254"/>
      <c r="Z14" s="255"/>
    </row>
    <row r="15" spans="1:62" ht="18.75" customHeight="1">
      <c r="A15" s="34" t="str">
        <f>IF($B$7="BG","Решение УС","Bord decision №")</f>
        <v>Решение УС</v>
      </c>
      <c r="C15" s="36"/>
      <c r="D15" s="36"/>
      <c r="E15" s="36"/>
      <c r="F15" s="36"/>
      <c r="X15" s="256" t="str">
        <f>IF($B$7="BG","Януари 2019","January 2019")</f>
        <v>Януари 2019</v>
      </c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57"/>
      <c r="BC15" s="36"/>
      <c r="BD15" s="36"/>
      <c r="BE15" s="36"/>
      <c r="BF15" s="36"/>
      <c r="BG15" s="36"/>
      <c r="BH15" s="36"/>
      <c r="BI15" s="36"/>
      <c r="BJ15" s="36"/>
    </row>
    <row r="16" spans="1:69" ht="49.5" customHeight="1">
      <c r="A16" s="154" t="str">
        <f>IF($B$7="BG","Бележки","Notice")</f>
        <v>Бележки</v>
      </c>
      <c r="B16" s="154" t="str">
        <f>IF($B$7="BG","Програма","Program")</f>
        <v>Програма</v>
      </c>
      <c r="C16" s="154" t="str">
        <f>IF($B$7="BG","Ден","Day")</f>
        <v>Ден</v>
      </c>
      <c r="D16" s="154" t="str">
        <f>IF($B$7="BG","Час","Time")</f>
        <v>Час</v>
      </c>
      <c r="E16" s="154" t="str">
        <f>IF($B$7="BG","Ключ","Key")</f>
        <v>Ключ</v>
      </c>
      <c r="F16" s="154" t="str">
        <f>IF($B$7="BG","Часова зона","Day part")</f>
        <v>Часова зона</v>
      </c>
      <c r="G16" s="154" t="str">
        <f>IF($B$7="BG","Рекламна форма","TVC Type")</f>
        <v>Рекламна форма</v>
      </c>
      <c r="H16" s="154" t="str">
        <f>IF($B$7="BG","Цена за клип 30 сек.","30 sec Price")</f>
        <v>Цена за клип 30 сек.</v>
      </c>
      <c r="I16" s="154" t="str">
        <f>IF($B$7="BG","Брой","Count")</f>
        <v>Брой</v>
      </c>
      <c r="J16" s="154" t="str">
        <f>IF($B$7="BG","Общо цена","Total")</f>
        <v>Общо цена</v>
      </c>
      <c r="K16" s="154" t="s">
        <v>18</v>
      </c>
      <c r="L16" s="154" t="s">
        <v>19</v>
      </c>
      <c r="M16" s="154" t="s">
        <v>20</v>
      </c>
      <c r="N16" s="154" t="s">
        <v>25</v>
      </c>
      <c r="O16" s="154" t="s">
        <v>21</v>
      </c>
      <c r="P16" s="154" t="s">
        <v>26</v>
      </c>
      <c r="Q16" s="154" t="s">
        <v>22</v>
      </c>
      <c r="R16" s="154" t="s">
        <v>27</v>
      </c>
      <c r="S16" s="154" t="s">
        <v>23</v>
      </c>
      <c r="T16" s="154" t="s">
        <v>28</v>
      </c>
      <c r="U16" s="154" t="s">
        <v>24</v>
      </c>
      <c r="V16" s="154" t="s">
        <v>29</v>
      </c>
      <c r="W16" s="154" t="s">
        <v>30</v>
      </c>
      <c r="X16" s="187">
        <v>1</v>
      </c>
      <c r="Y16" s="187">
        <v>2</v>
      </c>
      <c r="Z16" s="187">
        <v>3</v>
      </c>
      <c r="AA16" s="187">
        <v>4</v>
      </c>
      <c r="AB16" s="37">
        <v>5</v>
      </c>
      <c r="AC16" s="37">
        <v>6</v>
      </c>
      <c r="AD16" s="187">
        <v>7</v>
      </c>
      <c r="AE16" s="187">
        <v>8</v>
      </c>
      <c r="AF16" s="187">
        <v>9</v>
      </c>
      <c r="AG16" s="187">
        <v>10</v>
      </c>
      <c r="AH16" s="187">
        <v>11</v>
      </c>
      <c r="AI16" s="37">
        <v>12</v>
      </c>
      <c r="AJ16" s="37">
        <v>13</v>
      </c>
      <c r="AK16" s="187">
        <v>14</v>
      </c>
      <c r="AL16" s="187">
        <v>15</v>
      </c>
      <c r="AM16" s="187">
        <v>16</v>
      </c>
      <c r="AN16" s="187">
        <v>17</v>
      </c>
      <c r="AO16" s="187">
        <v>18</v>
      </c>
      <c r="AP16" s="37">
        <v>19</v>
      </c>
      <c r="AQ16" s="37">
        <v>20</v>
      </c>
      <c r="AR16" s="187">
        <v>21</v>
      </c>
      <c r="AS16" s="187">
        <v>22</v>
      </c>
      <c r="AT16" s="187">
        <v>23</v>
      </c>
      <c r="AU16" s="187">
        <v>24</v>
      </c>
      <c r="AV16" s="187">
        <v>25</v>
      </c>
      <c r="AW16" s="37">
        <v>26</v>
      </c>
      <c r="AX16" s="37">
        <v>27</v>
      </c>
      <c r="AY16" s="187">
        <v>28</v>
      </c>
      <c r="AZ16" s="187">
        <v>29</v>
      </c>
      <c r="BA16" s="187">
        <v>30</v>
      </c>
      <c r="BB16" s="187">
        <v>31</v>
      </c>
      <c r="BC16" s="156" t="str">
        <f>IF($B$7="BG","Утежнение за позиция в блок/две реклами в блок","Surcharge in the block/two ad unit")</f>
        <v>Утежнение за позиция в блок/две реклами в блок</v>
      </c>
      <c r="BD16" s="156" t="str">
        <f>IF($B$7="BG","Утежнение за съвместна реклама","Co-Ad surcharge")</f>
        <v>Утежнение за съвместна реклама</v>
      </c>
      <c r="BE16" s="156" t="s">
        <v>45</v>
      </c>
      <c r="BF16" s="156" t="str">
        <f>IF($B$7="BG","Цена за клип/СЗ/ПР без утежнения","Price for spot/ST/PR without surcharge")</f>
        <v>Цена за клип/СЗ/ПР без утежнения</v>
      </c>
      <c r="BG16" s="156" t="str">
        <f>IF($B$7="BG","Цена с утежнения за позиция и марка","Price with surcharge for Position and Brand")</f>
        <v>Цена с утежнения за позиция и марка</v>
      </c>
      <c r="BH16" s="156" t="str">
        <f>IF($B$7="BG","Утежнения за позиция и марка","Price surcharge for Position and Brand")</f>
        <v>Утежнения за позиция и марка</v>
      </c>
      <c r="BI16" s="156" t="str">
        <f>IF($B$7="BG","Утежнения закъснение","Surcharge for Delay")</f>
        <v>Утежнения закъснение</v>
      </c>
      <c r="BJ16" s="156" t="str">
        <f>IF($B$7="BG","Общо утежнение","Total Surcharge")</f>
        <v>Общо утежнение</v>
      </c>
      <c r="BL16" s="88" t="s">
        <v>0</v>
      </c>
      <c r="BM16" s="88" t="s">
        <v>1</v>
      </c>
      <c r="BN16" s="88" t="s">
        <v>2</v>
      </c>
      <c r="BO16" s="88" t="s">
        <v>3</v>
      </c>
      <c r="BP16" s="88" t="s">
        <v>4</v>
      </c>
      <c r="BQ16" s="88" t="s">
        <v>5</v>
      </c>
    </row>
    <row r="17" spans="1:69" ht="12.75" customHeight="1">
      <c r="A17" s="38"/>
      <c r="B17" s="39"/>
      <c r="C17" s="40"/>
      <c r="D17" s="41"/>
      <c r="E17" s="42">
        <f>IF(D17="","",ABS(LEFT(D17,2)))</f>
      </c>
      <c r="F17" s="42">
        <f>IF(D17="","",IF((E17&gt;=19)*(E17&lt;22),"PT","OPT"))</f>
      </c>
      <c r="G17" s="136"/>
      <c r="H17" s="43">
        <f>IF($C$9="",SUMIF(time100,D17,data!$L$16:$L$21),SUMIF(packs,$C$9,data!$L$10:$L$12))</f>
        <v>0</v>
      </c>
      <c r="I17" s="91">
        <f>COUNTA(X17:BB17)</f>
        <v>0</v>
      </c>
      <c r="J17" s="43">
        <f aca="true" t="shared" si="1" ref="J17:J36">IF(D17="",0,(K17*L17+M17*N17+O17*P17+Q17*R17+S17*T17+U17*V17)*W17)</f>
        <v>0</v>
      </c>
      <c r="K17" s="33" t="b">
        <f>IF($X$9="Да/Yes",0,IF(G17="Spons tag",H17/2,IF(G17="Spot",$H$9*H17,IF(G17="Paid report",H17*$G$9*1*2/60,IF(AND(G17="Cut-in",$G$9&lt;=10),H17*0.7,IF(G17="Break ID with VO 7+7",H17*1.2,IF(AND(G17="Spons promo",$G$9&lt;=10),H17/2,IF(G17="Break ID 7+7",H17))))))))</f>
        <v>0</v>
      </c>
      <c r="L17" s="35">
        <f>COUNTIF(X17:BB17,$E$9)</f>
        <v>0</v>
      </c>
      <c r="M17" s="33" t="b">
        <f>IF($X$10="Да/Yes",0,IF(G17="Spons tag",H17/2,IF(G17="Spot",$H$10*H17,IF(G17="Paid report",H17*$G$10*1*2/60,IF(AND(G17="Cut-in",$G$10&lt;=10),H17*0.7,IF(G17="Break ID with VO 7+7",H17*1.2,IF(AND(G17="Spons promo",$G$10&lt;=10),H17/2,IF(G17="Break ID 7+7",H17))))))))</f>
        <v>0</v>
      </c>
      <c r="N17" s="35">
        <f>COUNTIF(X17:BB17,$E$10)</f>
        <v>0</v>
      </c>
      <c r="O17" s="33" t="b">
        <f>IF($X$11="Да/Yes",0,IF(G17="Spons tag",H17/2,IF(G17="Spot",$H$11*H17,IF(G17="Paid report",H17*$G$11*1*2/60,IF(AND(G17="Cut-in",$G$11&lt;=10),H17*0.7,IF(G17="Break ID with VO 7+7",H17*1.2,IF(AND(G17="Spons promo",$G$11&lt;=10),H17/2,IF(G17="Break ID 7+7",H17))))))))</f>
        <v>0</v>
      </c>
      <c r="P17" s="35">
        <f>COUNTIF(X17:BB17,$E$11)</f>
        <v>0</v>
      </c>
      <c r="Q17" s="33" t="b">
        <f>IF($X$12="Да/Yes",0,IF(G17="Spons tag",H17/2,IF(G17="Spot",$H$12*H17,IF(G17="Paid report",H17*$G$12*1*2/60,IF(AND(G17="Cut-in",$G$12&lt;=10),H17*0.7,IF(G17="Break ID with VO 7+7",H17*1.2,IF(AND(G17="Spons promo",$G$12&lt;=10),H17/2,IF(G17="Break ID 7+7",H17))))))))</f>
        <v>0</v>
      </c>
      <c r="R17" s="35">
        <f>COUNTIF(X17:BB17,$E$12)</f>
        <v>0</v>
      </c>
      <c r="S17" s="33" t="b">
        <f>IF($X$13="Да/Yes",0,IF(G17="Spons tag",H17/2,IF(G17="Spot",$H$13*H17,IF(G17="Paid report",H17*$G$13*1*2/60,IF(AND(G17="Cut-in",$G$13&lt;=10),H17*0.7,IF(G17="Break ID with VO 7+7",H17*1.2,IF(AND(G17="Spons promo",$G$13&lt;=10),H17/2,IF(G17="Break ID 7+7",H17))))))))</f>
        <v>0</v>
      </c>
      <c r="T17" s="35">
        <f>COUNTIF(X17:BB17,$E$13)</f>
        <v>0</v>
      </c>
      <c r="U17" s="33" t="b">
        <f>IF($X$14="Да/Yes",0,IF(G17="Spons tag",H17/2,IF(G17="Spot",$H$14*H17,IF(G17="Paid report",H17*$G$14*1*2/60,IF(AND(G17="Cut-in",$G$14&lt;=10),H17*0.7,IF(G17="Break ID with VO 7+7",H17*1.2,IF(AND(G17="Spons promo",$G$14&lt;=10),H17/2,IF(G17="Break ID 7+7",H17))))))))</f>
        <v>0</v>
      </c>
      <c r="V17" s="35">
        <f>COUNTIF(X17:BB17,$E$14)</f>
        <v>0</v>
      </c>
      <c r="W17" s="35">
        <f>IF(BC17="",1,VLOOKUP(BC17,data!$C$3:$D$10,2,FALSE))*(1+BD17)</f>
        <v>1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38"/>
      <c r="BD17" s="44"/>
      <c r="BE17" s="44"/>
      <c r="BF17" s="43">
        <f aca="true" t="shared" si="2" ref="BF17:BF36">IF(I17=0,0,(K17*L17+M17*N17+O17*P17+Q17*R17+S17*T17+U17*V17)/I17)</f>
        <v>0</v>
      </c>
      <c r="BG17" s="43">
        <f aca="true" t="shared" si="3" ref="BG17:BG36">IF(I17=0,0,J17/I17)</f>
        <v>0</v>
      </c>
      <c r="BH17" s="43">
        <f aca="true" t="shared" si="4" ref="BH17:BH36">IF((BG17-BF17)&gt;0,(BG17-BF17)*I17,0)</f>
        <v>0</v>
      </c>
      <c r="BI17" s="43">
        <f>BE17*BG17</f>
        <v>0</v>
      </c>
      <c r="BJ17" s="43">
        <f>BH17+BI17</f>
        <v>0</v>
      </c>
      <c r="BL17" s="45">
        <f>((COUNTIF(X17:AC17,"A")*K17)+(COUNTIF(W17:AC17,"B")*M17)+(COUNTIF(W17:AC17,"C")*O17)+(COUNTIF(W17:AC17,"D")*Q17)+(COUNTIF(W17:AC17,"E")*S17)+(COUNTIF(X17:AC17,"F")*U17))*W17</f>
        <v>0</v>
      </c>
      <c r="BM17" s="45">
        <f>((COUNTIF(AD17:AJ17,"A")*K17)+(COUNTIF(AD17:AJ17,"B")*M17)+(COUNTIF(AD17:AJ17,"C")*O17)+(COUNTIF(AD17:AJ17,"D")*Q17)+(COUNTIF(AD17:AJ17,"E")*S17)+(COUNTIF(AD17:AJ17,"F")*U17))*W17</f>
        <v>0</v>
      </c>
      <c r="BN17" s="45">
        <f>((COUNTIF(AK17:AQ17,"A")*K17)+(COUNTIF(AK17:AQ17,"B")*M17)+(COUNTIF(AK17:AQ17,"C")*O17)+(COUNTIF(AK17:AQ17,"D")*Q17)+(COUNTIF(AK17:AQ17,"E")*S17)++(COUNTIF(AK17:AQ17,"F")*U17))*W17</f>
        <v>0</v>
      </c>
      <c r="BO17" s="45">
        <f>((COUNTIF(AR17:AX17,"A")*K17)+(COUNTIF(AR17:AX17,"B")*M17)+(COUNTIF(AR17:AX17,"C")*O17)+(COUNTIF(AR17:AX17,"D")*Q17)+(COUNTIF(AR17:AX17,"E")*S17)++(COUNTIF(AR17:AX17,"F")*U17))*W17</f>
        <v>0</v>
      </c>
      <c r="BP17" s="45">
        <f>((COUNTIF(AY17:BB17,"A")*K17)+(COUNTIF(AY17:BB17,"B")*M17)+(COUNTIF(AY17:BB17,"C")*O17)+(COUNTIF(AY17:BB17,"D")*Q17)+(COUNTIF(AY17:BB17,"E")*S17)+(COUNTIF(AY17:BB17,"F")*U17))*W17</f>
        <v>0</v>
      </c>
      <c r="BQ17" s="45">
        <f aca="true" t="shared" si="5" ref="BQ17:BQ36">((COUNTIF(BB17,"A")*K17)+(COUNTIF(BB17,"B")*M17)+(COUNTIF(BB17,"C")*O17)+(COUNTIF(BB17,"D")*Q17)+(COUNTIF(BB17,"E")*S17)+(COUNTIF(BB17,"F")*U17))*W17</f>
        <v>0</v>
      </c>
    </row>
    <row r="18" spans="1:69" ht="12.75" customHeight="1">
      <c r="A18" s="38"/>
      <c r="B18" s="39"/>
      <c r="C18" s="40"/>
      <c r="D18" s="41"/>
      <c r="E18" s="42">
        <f aca="true" t="shared" si="6" ref="E18:E36">IF(D18="","",ABS(LEFT(D18,2)))</f>
      </c>
      <c r="F18" s="42">
        <f aca="true" t="shared" si="7" ref="F18:F36">IF(D18="","",IF((E18&gt;=19)*(E18&lt;22),"PT","OPT"))</f>
      </c>
      <c r="G18" s="136"/>
      <c r="H18" s="43">
        <f>IF($C$9="",SUMIF(time100,D18,data!$L$16:$L$21),SUMIF(packs,$C$9,data!$L$10:$L$12))</f>
        <v>0</v>
      </c>
      <c r="I18" s="91">
        <f aca="true" t="shared" si="8" ref="I18:I36">COUNTA(X18:BB18)</f>
        <v>0</v>
      </c>
      <c r="J18" s="43">
        <f t="shared" si="1"/>
        <v>0</v>
      </c>
      <c r="K18" s="33" t="b">
        <f aca="true" t="shared" si="9" ref="K18:K36">IF($X$9="Да/Yes",0,IF(G18="Spons tag",H18/2,IF(G18="Spot",$H$9*H18,IF(G18="Paid report",H18*$G$9*1*2/60,IF(AND(G18="Cut-in",$G$9&lt;=10),H18*0.7,IF(G18="Break ID with VO 7+7",H18*1.2,IF(AND(G18="Spons promo",$G$9&lt;=10),H18/2,IF(G18="Break ID 7+7",H18))))))))</f>
        <v>0</v>
      </c>
      <c r="L18" s="35">
        <f aca="true" t="shared" si="10" ref="L18:L36">COUNTIF(X18:BB18,$E$9)</f>
        <v>0</v>
      </c>
      <c r="M18" s="33" t="b">
        <f aca="true" t="shared" si="11" ref="M18:M36">IF($X$10="Да/Yes",0,IF(G18="Spons tag",H18/2,IF(G18="Spot",$H$10*H18,IF(G18="Paid report",H18*$G$10*1*2/60,IF(AND(G18="Cut-in",$G$10&lt;=10),H18*0.7,IF(G18="Break ID with VO 7+7",H18*1.2,IF(AND(G18="Spons promo",$G$10&lt;=10),H18/2,IF(G18="Break ID 7+7",H18))))))))</f>
        <v>0</v>
      </c>
      <c r="N18" s="35">
        <f aca="true" t="shared" si="12" ref="N18:N36">COUNTIF(X18:BB18,$E$10)</f>
        <v>0</v>
      </c>
      <c r="O18" s="33" t="b">
        <f aca="true" t="shared" si="13" ref="O18:O36">IF($X$11="Да/Yes",0,IF(G18="Spons tag",H18/2,IF(G18="Spot",$H$11*H18,IF(G18="Paid report",H18*$G$11*1*2/60,IF(AND(G18="Cut-in",$G$11&lt;=10),H18*0.7,IF(G18="Break ID with VO 7+7",H18*1.2,IF(AND(G18="Spons promo",$G$11&lt;=10),H18/2,IF(G18="Break ID 7+7",H18))))))))</f>
        <v>0</v>
      </c>
      <c r="P18" s="35">
        <f aca="true" t="shared" si="14" ref="P18:P36">COUNTIF(X18:BB18,$E$11)</f>
        <v>0</v>
      </c>
      <c r="Q18" s="33" t="b">
        <f aca="true" t="shared" si="15" ref="Q18:Q36">IF($X$12="Да/Yes",0,IF(G18="Spons tag",H18/2,IF(G18="Spot",$H$12*H18,IF(G18="Paid report",H18*$G$12*1*2/60,IF(AND(G18="Cut-in",$G$12&lt;=10),H18*0.7,IF(G18="Break ID with VO 7+7",H18*1.2,IF(AND(G18="Spons promo",$G$12&lt;=10),H18/2,IF(G18="Break ID 7+7",H18))))))))</f>
        <v>0</v>
      </c>
      <c r="R18" s="35">
        <f aca="true" t="shared" si="16" ref="R18:R36">COUNTIF(X18:BB18,$E$12)</f>
        <v>0</v>
      </c>
      <c r="S18" s="33" t="b">
        <f aca="true" t="shared" si="17" ref="S18:S36">IF($X$13="Да/Yes",0,IF(G18="Spons tag",H18/2,IF(G18="Spot",$H$13*H18,IF(G18="Paid report",H18*$G$13*1*2/60,IF(AND(G18="Cut-in",$G$13&lt;=10),H18*0.7,IF(G18="Break ID with VO 7+7",H18*1.2,IF(AND(G18="Spons promo",$G$13&lt;=10),H18/2,IF(G18="Break ID 7+7",H18))))))))</f>
        <v>0</v>
      </c>
      <c r="T18" s="35">
        <f aca="true" t="shared" si="18" ref="T18:T36">COUNTIF(X18:BB18,$E$13)</f>
        <v>0</v>
      </c>
      <c r="U18" s="33" t="b">
        <f aca="true" t="shared" si="19" ref="U18:U36">IF($X$14="Да/Yes",0,IF(G18="Spons tag",H18/2,IF(G18="Spot",$H$14*H18,IF(G18="Paid report",H18*$G$14*1*2/60,IF(AND(G18="Cut-in",$G$14&lt;=10),H18*0.7,IF(G18="Break ID with VO 7+7",H18*1.2,IF(AND(G18="Spons promo",$G$14&lt;=10),H18/2,IF(G18="Break ID 7+7",H18))))))))</f>
        <v>0</v>
      </c>
      <c r="V18" s="35">
        <f aca="true" t="shared" si="20" ref="V18:V36">COUNTIF(X18:BB18,$E$14)</f>
        <v>0</v>
      </c>
      <c r="W18" s="35">
        <f>IF(BC18="",1,VLOOKUP(BC18,data!$C$3:$D$10,2,FALSE))*(1+BD18)</f>
        <v>1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38"/>
      <c r="BD18" s="44"/>
      <c r="BE18" s="44"/>
      <c r="BF18" s="43">
        <f t="shared" si="2"/>
        <v>0</v>
      </c>
      <c r="BG18" s="43">
        <f t="shared" si="3"/>
        <v>0</v>
      </c>
      <c r="BH18" s="43">
        <f t="shared" si="4"/>
        <v>0</v>
      </c>
      <c r="BI18" s="43">
        <f aca="true" t="shared" si="21" ref="BI18:BI36">BE18*BG18</f>
        <v>0</v>
      </c>
      <c r="BJ18" s="43">
        <f aca="true" t="shared" si="22" ref="BJ18:BJ36">BH18+BI18</f>
        <v>0</v>
      </c>
      <c r="BL18" s="45">
        <f aca="true" t="shared" si="23" ref="BL18:BL36">((COUNTIF(X18:AC18,"A")*K18)+(COUNTIF(W18:AC18,"B")*M18)+(COUNTIF(W18:AC18,"C")*O18)+(COUNTIF(W18:AC18,"D")*Q18)+(COUNTIF(W18:AC18,"E")*S18)+(COUNTIF(X18:AC18,"F")*U18))*W18</f>
        <v>0</v>
      </c>
      <c r="BM18" s="45">
        <f aca="true" t="shared" si="24" ref="BM18:BM36">((COUNTIF(AD18:AJ18,"A")*K18)+(COUNTIF(AD18:AJ18,"B")*M18)+(COUNTIF(AD18:AJ18,"C")*O18)+(COUNTIF(AD18:AJ18,"D")*Q18)+(COUNTIF(AD18:AJ18,"E")*S18)+(COUNTIF(AD18:AJ18,"F")*U18))*W18</f>
        <v>0</v>
      </c>
      <c r="BN18" s="45">
        <f aca="true" t="shared" si="25" ref="BN18:BN36">((COUNTIF(AK18:AQ18,"A")*K18)+(COUNTIF(AK18:AQ18,"B")*M18)+(COUNTIF(AK18:AQ18,"C")*O18)+(COUNTIF(AK18:AQ18,"D")*Q18)+(COUNTIF(AK18:AQ18,"E")*S18)++(COUNTIF(AK18:AQ18,"F")*U18))*W18</f>
        <v>0</v>
      </c>
      <c r="BO18" s="45">
        <f aca="true" t="shared" si="26" ref="BO18:BO36">((COUNTIF(AR18:AX18,"A")*K18)+(COUNTIF(AR18:AX18,"B")*M18)+(COUNTIF(AR18:AX18,"C")*O18)+(COUNTIF(AR18:AX18,"D")*Q18)+(COUNTIF(AR18:AX18,"E")*S18)++(COUNTIF(AR18:AX18,"F")*U18))*W18</f>
        <v>0</v>
      </c>
      <c r="BP18" s="45">
        <f aca="true" t="shared" si="27" ref="BP18:BP36">((COUNTIF(AY18:BB18,"A")*K18)+(COUNTIF(AY18:BB18,"B")*M18)+(COUNTIF(AY18:BB18,"C")*O18)+(COUNTIF(AY18:BB18,"D")*Q18)+(COUNTIF(AY18:BB18,"E")*S18)+(COUNTIF(AY18:BB18,"F")*U18))*W18</f>
        <v>0</v>
      </c>
      <c r="BQ18" s="45">
        <f t="shared" si="5"/>
        <v>0</v>
      </c>
    </row>
    <row r="19" spans="1:69" ht="12.75" customHeight="1">
      <c r="A19" s="38"/>
      <c r="B19" s="39"/>
      <c r="C19" s="40"/>
      <c r="D19" s="41"/>
      <c r="E19" s="42">
        <f t="shared" si="6"/>
      </c>
      <c r="F19" s="42">
        <f t="shared" si="7"/>
      </c>
      <c r="G19" s="136"/>
      <c r="H19" s="43">
        <f>IF($C$9="",SUMIF(time100,D19,data!$L$16:$L$21),SUMIF(packs,$C$9,data!$L$10:$L$12))</f>
        <v>0</v>
      </c>
      <c r="I19" s="91">
        <f t="shared" si="8"/>
        <v>0</v>
      </c>
      <c r="J19" s="43">
        <f t="shared" si="1"/>
        <v>0</v>
      </c>
      <c r="K19" s="33" t="b">
        <f t="shared" si="9"/>
        <v>0</v>
      </c>
      <c r="L19" s="35">
        <f t="shared" si="10"/>
        <v>0</v>
      </c>
      <c r="M19" s="33" t="b">
        <f t="shared" si="11"/>
        <v>0</v>
      </c>
      <c r="N19" s="35">
        <f t="shared" si="12"/>
        <v>0</v>
      </c>
      <c r="O19" s="33" t="b">
        <f t="shared" si="13"/>
        <v>0</v>
      </c>
      <c r="P19" s="35">
        <f t="shared" si="14"/>
        <v>0</v>
      </c>
      <c r="Q19" s="33" t="b">
        <f t="shared" si="15"/>
        <v>0</v>
      </c>
      <c r="R19" s="35">
        <f t="shared" si="16"/>
        <v>0</v>
      </c>
      <c r="S19" s="33" t="b">
        <f t="shared" si="17"/>
        <v>0</v>
      </c>
      <c r="T19" s="35">
        <f t="shared" si="18"/>
        <v>0</v>
      </c>
      <c r="U19" s="33" t="b">
        <f t="shared" si="19"/>
        <v>0</v>
      </c>
      <c r="V19" s="35">
        <f t="shared" si="20"/>
        <v>0</v>
      </c>
      <c r="W19" s="35">
        <f>IF(BC19="",1,VLOOKUP(BC19,data!$C$3:$D$10,2,FALSE))*(1+BD19)</f>
        <v>1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38"/>
      <c r="BD19" s="44"/>
      <c r="BE19" s="44"/>
      <c r="BF19" s="43">
        <f t="shared" si="2"/>
        <v>0</v>
      </c>
      <c r="BG19" s="43">
        <f t="shared" si="3"/>
        <v>0</v>
      </c>
      <c r="BH19" s="43">
        <f t="shared" si="4"/>
        <v>0</v>
      </c>
      <c r="BI19" s="43">
        <f t="shared" si="21"/>
        <v>0</v>
      </c>
      <c r="BJ19" s="43">
        <f t="shared" si="22"/>
        <v>0</v>
      </c>
      <c r="BL19" s="45">
        <f t="shared" si="23"/>
        <v>0</v>
      </c>
      <c r="BM19" s="45">
        <f t="shared" si="24"/>
        <v>0</v>
      </c>
      <c r="BN19" s="45">
        <f t="shared" si="25"/>
        <v>0</v>
      </c>
      <c r="BO19" s="45">
        <f t="shared" si="26"/>
        <v>0</v>
      </c>
      <c r="BP19" s="45">
        <f t="shared" si="27"/>
        <v>0</v>
      </c>
      <c r="BQ19" s="45">
        <f t="shared" si="5"/>
        <v>0</v>
      </c>
    </row>
    <row r="20" spans="1:69" ht="12.75" customHeight="1">
      <c r="A20" s="38"/>
      <c r="B20" s="39"/>
      <c r="C20" s="40"/>
      <c r="D20" s="41"/>
      <c r="E20" s="42">
        <f t="shared" si="6"/>
      </c>
      <c r="F20" s="42">
        <f t="shared" si="7"/>
      </c>
      <c r="G20" s="136"/>
      <c r="H20" s="43">
        <f>IF($C$9="",SUMIF(time100,D20,data!$L$16:$L$21),SUMIF(packs,$C$9,data!$L$10:$L$12))</f>
        <v>0</v>
      </c>
      <c r="I20" s="91">
        <f t="shared" si="8"/>
        <v>0</v>
      </c>
      <c r="J20" s="43">
        <f t="shared" si="1"/>
        <v>0</v>
      </c>
      <c r="K20" s="33" t="b">
        <f t="shared" si="9"/>
        <v>0</v>
      </c>
      <c r="L20" s="35">
        <f t="shared" si="10"/>
        <v>0</v>
      </c>
      <c r="M20" s="33" t="b">
        <f t="shared" si="11"/>
        <v>0</v>
      </c>
      <c r="N20" s="35">
        <f t="shared" si="12"/>
        <v>0</v>
      </c>
      <c r="O20" s="33" t="b">
        <f t="shared" si="13"/>
        <v>0</v>
      </c>
      <c r="P20" s="35">
        <f t="shared" si="14"/>
        <v>0</v>
      </c>
      <c r="Q20" s="33" t="b">
        <f t="shared" si="15"/>
        <v>0</v>
      </c>
      <c r="R20" s="35">
        <f t="shared" si="16"/>
        <v>0</v>
      </c>
      <c r="S20" s="33" t="b">
        <f t="shared" si="17"/>
        <v>0</v>
      </c>
      <c r="T20" s="35">
        <f t="shared" si="18"/>
        <v>0</v>
      </c>
      <c r="U20" s="33" t="b">
        <f t="shared" si="19"/>
        <v>0</v>
      </c>
      <c r="V20" s="35">
        <f t="shared" si="20"/>
        <v>0</v>
      </c>
      <c r="W20" s="35">
        <f>IF(BC20="",1,VLOOKUP(BC20,data!$C$3:$D$10,2,FALSE))*(1+BD20)</f>
        <v>1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38"/>
      <c r="BD20" s="44"/>
      <c r="BE20" s="44"/>
      <c r="BF20" s="43">
        <f t="shared" si="2"/>
        <v>0</v>
      </c>
      <c r="BG20" s="43">
        <f t="shared" si="3"/>
        <v>0</v>
      </c>
      <c r="BH20" s="43">
        <f t="shared" si="4"/>
        <v>0</v>
      </c>
      <c r="BI20" s="43">
        <f t="shared" si="21"/>
        <v>0</v>
      </c>
      <c r="BJ20" s="43">
        <f t="shared" si="22"/>
        <v>0</v>
      </c>
      <c r="BL20" s="45">
        <f t="shared" si="23"/>
        <v>0</v>
      </c>
      <c r="BM20" s="45">
        <f t="shared" si="24"/>
        <v>0</v>
      </c>
      <c r="BN20" s="45">
        <f t="shared" si="25"/>
        <v>0</v>
      </c>
      <c r="BO20" s="45">
        <f t="shared" si="26"/>
        <v>0</v>
      </c>
      <c r="BP20" s="45">
        <f t="shared" si="27"/>
        <v>0</v>
      </c>
      <c r="BQ20" s="45">
        <f t="shared" si="5"/>
        <v>0</v>
      </c>
    </row>
    <row r="21" spans="1:69" ht="12.75" customHeight="1">
      <c r="A21" s="38"/>
      <c r="B21" s="39"/>
      <c r="C21" s="40"/>
      <c r="D21" s="41"/>
      <c r="E21" s="42">
        <f t="shared" si="6"/>
      </c>
      <c r="F21" s="42">
        <f t="shared" si="7"/>
      </c>
      <c r="G21" s="136"/>
      <c r="H21" s="43">
        <f>IF($C$9="",SUMIF(time100,D21,data!$L$16:$L$21),SUMIF(packs,$C$9,data!$L$10:$L$12))</f>
        <v>0</v>
      </c>
      <c r="I21" s="91">
        <f t="shared" si="8"/>
        <v>0</v>
      </c>
      <c r="J21" s="43">
        <f t="shared" si="1"/>
        <v>0</v>
      </c>
      <c r="K21" s="33" t="b">
        <f t="shared" si="9"/>
        <v>0</v>
      </c>
      <c r="L21" s="35">
        <f t="shared" si="10"/>
        <v>0</v>
      </c>
      <c r="M21" s="33" t="b">
        <f t="shared" si="11"/>
        <v>0</v>
      </c>
      <c r="N21" s="35">
        <f t="shared" si="12"/>
        <v>0</v>
      </c>
      <c r="O21" s="33" t="b">
        <f t="shared" si="13"/>
        <v>0</v>
      </c>
      <c r="P21" s="35">
        <f t="shared" si="14"/>
        <v>0</v>
      </c>
      <c r="Q21" s="33" t="b">
        <f t="shared" si="15"/>
        <v>0</v>
      </c>
      <c r="R21" s="35">
        <f t="shared" si="16"/>
        <v>0</v>
      </c>
      <c r="S21" s="33" t="b">
        <f t="shared" si="17"/>
        <v>0</v>
      </c>
      <c r="T21" s="35">
        <f t="shared" si="18"/>
        <v>0</v>
      </c>
      <c r="U21" s="33" t="b">
        <f t="shared" si="19"/>
        <v>0</v>
      </c>
      <c r="V21" s="35">
        <f t="shared" si="20"/>
        <v>0</v>
      </c>
      <c r="W21" s="35">
        <f>IF(BC21="",1,VLOOKUP(BC21,data!$C$3:$D$10,2,FALSE))*(1+BD21)</f>
        <v>1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38"/>
      <c r="BD21" s="44"/>
      <c r="BE21" s="44"/>
      <c r="BF21" s="43">
        <f t="shared" si="2"/>
        <v>0</v>
      </c>
      <c r="BG21" s="43">
        <f t="shared" si="3"/>
        <v>0</v>
      </c>
      <c r="BH21" s="43">
        <f t="shared" si="4"/>
        <v>0</v>
      </c>
      <c r="BI21" s="43">
        <f t="shared" si="21"/>
        <v>0</v>
      </c>
      <c r="BJ21" s="43">
        <f t="shared" si="22"/>
        <v>0</v>
      </c>
      <c r="BL21" s="45">
        <f t="shared" si="23"/>
        <v>0</v>
      </c>
      <c r="BM21" s="45">
        <f t="shared" si="24"/>
        <v>0</v>
      </c>
      <c r="BN21" s="45">
        <f t="shared" si="25"/>
        <v>0</v>
      </c>
      <c r="BO21" s="45">
        <f t="shared" si="26"/>
        <v>0</v>
      </c>
      <c r="BP21" s="45">
        <f t="shared" si="27"/>
        <v>0</v>
      </c>
      <c r="BQ21" s="45">
        <f t="shared" si="5"/>
        <v>0</v>
      </c>
    </row>
    <row r="22" spans="1:69" ht="12.75" customHeight="1">
      <c r="A22" s="38"/>
      <c r="B22" s="39"/>
      <c r="C22" s="40"/>
      <c r="D22" s="41"/>
      <c r="E22" s="42">
        <f t="shared" si="6"/>
      </c>
      <c r="F22" s="42">
        <f t="shared" si="7"/>
      </c>
      <c r="G22" s="136"/>
      <c r="H22" s="43">
        <f>IF($C$9="",SUMIF(time100,D22,data!$L$16:$L$21),SUMIF(packs,$C$9,data!$L$10:$L$12))</f>
        <v>0</v>
      </c>
      <c r="I22" s="91">
        <f t="shared" si="8"/>
        <v>0</v>
      </c>
      <c r="J22" s="43">
        <f t="shared" si="1"/>
        <v>0</v>
      </c>
      <c r="K22" s="33" t="b">
        <f t="shared" si="9"/>
        <v>0</v>
      </c>
      <c r="L22" s="35">
        <f t="shared" si="10"/>
        <v>0</v>
      </c>
      <c r="M22" s="33" t="b">
        <f t="shared" si="11"/>
        <v>0</v>
      </c>
      <c r="N22" s="35">
        <f t="shared" si="12"/>
        <v>0</v>
      </c>
      <c r="O22" s="33" t="b">
        <f t="shared" si="13"/>
        <v>0</v>
      </c>
      <c r="P22" s="35">
        <f t="shared" si="14"/>
        <v>0</v>
      </c>
      <c r="Q22" s="33" t="b">
        <f t="shared" si="15"/>
        <v>0</v>
      </c>
      <c r="R22" s="35">
        <f t="shared" si="16"/>
        <v>0</v>
      </c>
      <c r="S22" s="33" t="b">
        <f t="shared" si="17"/>
        <v>0</v>
      </c>
      <c r="T22" s="35">
        <f t="shared" si="18"/>
        <v>0</v>
      </c>
      <c r="U22" s="33" t="b">
        <f t="shared" si="19"/>
        <v>0</v>
      </c>
      <c r="V22" s="35">
        <f t="shared" si="20"/>
        <v>0</v>
      </c>
      <c r="W22" s="35">
        <f>IF(BC22="",1,VLOOKUP(BC22,data!$C$3:$D$10,2,FALSE))*(1+BD22)</f>
        <v>1</v>
      </c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38"/>
      <c r="BD22" s="44"/>
      <c r="BE22" s="44"/>
      <c r="BF22" s="43">
        <f t="shared" si="2"/>
        <v>0</v>
      </c>
      <c r="BG22" s="43">
        <f t="shared" si="3"/>
        <v>0</v>
      </c>
      <c r="BH22" s="43">
        <f t="shared" si="4"/>
        <v>0</v>
      </c>
      <c r="BI22" s="43">
        <f t="shared" si="21"/>
        <v>0</v>
      </c>
      <c r="BJ22" s="43">
        <f t="shared" si="22"/>
        <v>0</v>
      </c>
      <c r="BL22" s="45">
        <f t="shared" si="23"/>
        <v>0</v>
      </c>
      <c r="BM22" s="45">
        <f t="shared" si="24"/>
        <v>0</v>
      </c>
      <c r="BN22" s="45">
        <f t="shared" si="25"/>
        <v>0</v>
      </c>
      <c r="BO22" s="45">
        <f t="shared" si="26"/>
        <v>0</v>
      </c>
      <c r="BP22" s="45">
        <f t="shared" si="27"/>
        <v>0</v>
      </c>
      <c r="BQ22" s="45">
        <f t="shared" si="5"/>
        <v>0</v>
      </c>
    </row>
    <row r="23" spans="1:69" ht="12.75" customHeight="1">
      <c r="A23" s="38"/>
      <c r="B23" s="39"/>
      <c r="C23" s="40"/>
      <c r="D23" s="41"/>
      <c r="E23" s="42">
        <f t="shared" si="6"/>
      </c>
      <c r="F23" s="42">
        <f t="shared" si="7"/>
      </c>
      <c r="G23" s="136"/>
      <c r="H23" s="43">
        <f>IF($C$9="",SUMIF(time100,D23,data!$L$16:$L$21),SUMIF(packs,$C$9,data!$L$10:$L$12))</f>
        <v>0</v>
      </c>
      <c r="I23" s="91">
        <f t="shared" si="8"/>
        <v>0</v>
      </c>
      <c r="J23" s="43">
        <f t="shared" si="1"/>
        <v>0</v>
      </c>
      <c r="K23" s="33" t="b">
        <f t="shared" si="9"/>
        <v>0</v>
      </c>
      <c r="L23" s="35">
        <f t="shared" si="10"/>
        <v>0</v>
      </c>
      <c r="M23" s="33" t="b">
        <f t="shared" si="11"/>
        <v>0</v>
      </c>
      <c r="N23" s="35">
        <f t="shared" si="12"/>
        <v>0</v>
      </c>
      <c r="O23" s="33" t="b">
        <f t="shared" si="13"/>
        <v>0</v>
      </c>
      <c r="P23" s="35">
        <f t="shared" si="14"/>
        <v>0</v>
      </c>
      <c r="Q23" s="33" t="b">
        <f t="shared" si="15"/>
        <v>0</v>
      </c>
      <c r="R23" s="35">
        <f t="shared" si="16"/>
        <v>0</v>
      </c>
      <c r="S23" s="33" t="b">
        <f t="shared" si="17"/>
        <v>0</v>
      </c>
      <c r="T23" s="35">
        <f t="shared" si="18"/>
        <v>0</v>
      </c>
      <c r="U23" s="33" t="b">
        <f t="shared" si="19"/>
        <v>0</v>
      </c>
      <c r="V23" s="35">
        <f t="shared" si="20"/>
        <v>0</v>
      </c>
      <c r="W23" s="35">
        <f>IF(BC23="",1,VLOOKUP(BC23,data!$C$3:$D$10,2,FALSE))*(1+BD23)</f>
        <v>1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38"/>
      <c r="BD23" s="44"/>
      <c r="BE23" s="44"/>
      <c r="BF23" s="43">
        <f t="shared" si="2"/>
        <v>0</v>
      </c>
      <c r="BG23" s="43">
        <f t="shared" si="3"/>
        <v>0</v>
      </c>
      <c r="BH23" s="43">
        <f t="shared" si="4"/>
        <v>0</v>
      </c>
      <c r="BI23" s="43">
        <f t="shared" si="21"/>
        <v>0</v>
      </c>
      <c r="BJ23" s="43">
        <f t="shared" si="22"/>
        <v>0</v>
      </c>
      <c r="BL23" s="45">
        <f t="shared" si="23"/>
        <v>0</v>
      </c>
      <c r="BM23" s="45">
        <f t="shared" si="24"/>
        <v>0</v>
      </c>
      <c r="BN23" s="45">
        <f t="shared" si="25"/>
        <v>0</v>
      </c>
      <c r="BO23" s="45">
        <f t="shared" si="26"/>
        <v>0</v>
      </c>
      <c r="BP23" s="45">
        <f t="shared" si="27"/>
        <v>0</v>
      </c>
      <c r="BQ23" s="45">
        <f t="shared" si="5"/>
        <v>0</v>
      </c>
    </row>
    <row r="24" spans="1:69" ht="12.75" customHeight="1">
      <c r="A24" s="38"/>
      <c r="B24" s="39"/>
      <c r="C24" s="40"/>
      <c r="D24" s="41"/>
      <c r="E24" s="42">
        <f t="shared" si="6"/>
      </c>
      <c r="F24" s="42">
        <f t="shared" si="7"/>
      </c>
      <c r="G24" s="136"/>
      <c r="H24" s="43">
        <f>IF($C$9="",SUMIF(time100,D24,data!$L$16:$L$21),SUMIF(packs,$C$9,data!$L$10:$L$12))</f>
        <v>0</v>
      </c>
      <c r="I24" s="91">
        <f t="shared" si="8"/>
        <v>0</v>
      </c>
      <c r="J24" s="43">
        <f t="shared" si="1"/>
        <v>0</v>
      </c>
      <c r="K24" s="33" t="b">
        <f t="shared" si="9"/>
        <v>0</v>
      </c>
      <c r="L24" s="35">
        <f t="shared" si="10"/>
        <v>0</v>
      </c>
      <c r="M24" s="33" t="b">
        <f t="shared" si="11"/>
        <v>0</v>
      </c>
      <c r="N24" s="35">
        <f t="shared" si="12"/>
        <v>0</v>
      </c>
      <c r="O24" s="33" t="b">
        <f t="shared" si="13"/>
        <v>0</v>
      </c>
      <c r="P24" s="35">
        <f t="shared" si="14"/>
        <v>0</v>
      </c>
      <c r="Q24" s="33" t="b">
        <f t="shared" si="15"/>
        <v>0</v>
      </c>
      <c r="R24" s="35">
        <f t="shared" si="16"/>
        <v>0</v>
      </c>
      <c r="S24" s="33" t="b">
        <f t="shared" si="17"/>
        <v>0</v>
      </c>
      <c r="T24" s="35">
        <f t="shared" si="18"/>
        <v>0</v>
      </c>
      <c r="U24" s="33" t="b">
        <f t="shared" si="19"/>
        <v>0</v>
      </c>
      <c r="V24" s="35">
        <f t="shared" si="20"/>
        <v>0</v>
      </c>
      <c r="W24" s="35">
        <f>IF(BC24="",1,VLOOKUP(BC24,data!$C$3:$D$10,2,FALSE))*(1+BD24)</f>
        <v>1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38"/>
      <c r="BD24" s="44"/>
      <c r="BE24" s="44"/>
      <c r="BF24" s="43">
        <f t="shared" si="2"/>
        <v>0</v>
      </c>
      <c r="BG24" s="43">
        <f t="shared" si="3"/>
        <v>0</v>
      </c>
      <c r="BH24" s="43">
        <f t="shared" si="4"/>
        <v>0</v>
      </c>
      <c r="BI24" s="43">
        <f t="shared" si="21"/>
        <v>0</v>
      </c>
      <c r="BJ24" s="43">
        <f t="shared" si="22"/>
        <v>0</v>
      </c>
      <c r="BL24" s="45">
        <f t="shared" si="23"/>
        <v>0</v>
      </c>
      <c r="BM24" s="45">
        <f t="shared" si="24"/>
        <v>0</v>
      </c>
      <c r="BN24" s="45">
        <f t="shared" si="25"/>
        <v>0</v>
      </c>
      <c r="BO24" s="45">
        <f t="shared" si="26"/>
        <v>0</v>
      </c>
      <c r="BP24" s="45">
        <f t="shared" si="27"/>
        <v>0</v>
      </c>
      <c r="BQ24" s="45">
        <f t="shared" si="5"/>
        <v>0</v>
      </c>
    </row>
    <row r="25" spans="1:69" ht="12.75" customHeight="1">
      <c r="A25" s="38"/>
      <c r="B25" s="39"/>
      <c r="C25" s="40"/>
      <c r="D25" s="41"/>
      <c r="E25" s="42">
        <f t="shared" si="6"/>
      </c>
      <c r="F25" s="42">
        <f t="shared" si="7"/>
      </c>
      <c r="G25" s="136"/>
      <c r="H25" s="43">
        <f>IF($C$9="",SUMIF(time100,D25,data!$L$16:$L$21),SUMIF(packs,$C$9,data!$L$10:$L$12))</f>
        <v>0</v>
      </c>
      <c r="I25" s="91">
        <f t="shared" si="8"/>
        <v>0</v>
      </c>
      <c r="J25" s="43">
        <f t="shared" si="1"/>
        <v>0</v>
      </c>
      <c r="K25" s="33" t="b">
        <f t="shared" si="9"/>
        <v>0</v>
      </c>
      <c r="L25" s="35">
        <f t="shared" si="10"/>
        <v>0</v>
      </c>
      <c r="M25" s="33" t="b">
        <f t="shared" si="11"/>
        <v>0</v>
      </c>
      <c r="N25" s="35">
        <f t="shared" si="12"/>
        <v>0</v>
      </c>
      <c r="O25" s="33" t="b">
        <f t="shared" si="13"/>
        <v>0</v>
      </c>
      <c r="P25" s="35">
        <f t="shared" si="14"/>
        <v>0</v>
      </c>
      <c r="Q25" s="33" t="b">
        <f t="shared" si="15"/>
        <v>0</v>
      </c>
      <c r="R25" s="35">
        <f t="shared" si="16"/>
        <v>0</v>
      </c>
      <c r="S25" s="33" t="b">
        <f t="shared" si="17"/>
        <v>0</v>
      </c>
      <c r="T25" s="35">
        <f t="shared" si="18"/>
        <v>0</v>
      </c>
      <c r="U25" s="33" t="b">
        <f t="shared" si="19"/>
        <v>0</v>
      </c>
      <c r="V25" s="35">
        <f t="shared" si="20"/>
        <v>0</v>
      </c>
      <c r="W25" s="35">
        <f>IF(BC25="",1,VLOOKUP(BC25,data!$C$3:$D$10,2,FALSE))*(1+BD25)</f>
        <v>1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38"/>
      <c r="BD25" s="44"/>
      <c r="BE25" s="44"/>
      <c r="BF25" s="43">
        <f t="shared" si="2"/>
        <v>0</v>
      </c>
      <c r="BG25" s="43">
        <f t="shared" si="3"/>
        <v>0</v>
      </c>
      <c r="BH25" s="43">
        <f t="shared" si="4"/>
        <v>0</v>
      </c>
      <c r="BI25" s="43">
        <f t="shared" si="21"/>
        <v>0</v>
      </c>
      <c r="BJ25" s="43">
        <f t="shared" si="22"/>
        <v>0</v>
      </c>
      <c r="BL25" s="45">
        <f t="shared" si="23"/>
        <v>0</v>
      </c>
      <c r="BM25" s="45">
        <f t="shared" si="24"/>
        <v>0</v>
      </c>
      <c r="BN25" s="45">
        <f t="shared" si="25"/>
        <v>0</v>
      </c>
      <c r="BO25" s="45">
        <f t="shared" si="26"/>
        <v>0</v>
      </c>
      <c r="BP25" s="45">
        <f t="shared" si="27"/>
        <v>0</v>
      </c>
      <c r="BQ25" s="45">
        <f t="shared" si="5"/>
        <v>0</v>
      </c>
    </row>
    <row r="26" spans="1:69" ht="12.75" customHeight="1">
      <c r="A26" s="38"/>
      <c r="B26" s="39"/>
      <c r="C26" s="40"/>
      <c r="D26" s="41"/>
      <c r="E26" s="42">
        <f t="shared" si="6"/>
      </c>
      <c r="F26" s="42">
        <f t="shared" si="7"/>
      </c>
      <c r="G26" s="136"/>
      <c r="H26" s="43">
        <f>IF($C$9="",SUMIF(time100,D26,data!$L$16:$L$21),SUMIF(packs,$C$9,data!$L$10:$L$12))</f>
        <v>0</v>
      </c>
      <c r="I26" s="91">
        <f t="shared" si="8"/>
        <v>0</v>
      </c>
      <c r="J26" s="43">
        <f t="shared" si="1"/>
        <v>0</v>
      </c>
      <c r="K26" s="33" t="b">
        <f t="shared" si="9"/>
        <v>0</v>
      </c>
      <c r="L26" s="35">
        <f t="shared" si="10"/>
        <v>0</v>
      </c>
      <c r="M26" s="33" t="b">
        <f t="shared" si="11"/>
        <v>0</v>
      </c>
      <c r="N26" s="35">
        <f t="shared" si="12"/>
        <v>0</v>
      </c>
      <c r="O26" s="33" t="b">
        <f t="shared" si="13"/>
        <v>0</v>
      </c>
      <c r="P26" s="35">
        <f t="shared" si="14"/>
        <v>0</v>
      </c>
      <c r="Q26" s="33" t="b">
        <f t="shared" si="15"/>
        <v>0</v>
      </c>
      <c r="R26" s="35">
        <f t="shared" si="16"/>
        <v>0</v>
      </c>
      <c r="S26" s="33" t="b">
        <f t="shared" si="17"/>
        <v>0</v>
      </c>
      <c r="T26" s="35">
        <f t="shared" si="18"/>
        <v>0</v>
      </c>
      <c r="U26" s="33" t="b">
        <f t="shared" si="19"/>
        <v>0</v>
      </c>
      <c r="V26" s="35">
        <f t="shared" si="20"/>
        <v>0</v>
      </c>
      <c r="W26" s="35">
        <f>IF(BC26="",1,VLOOKUP(BC26,data!$C$3:$D$10,2,FALSE))*(1+BD26)</f>
        <v>1</v>
      </c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38"/>
      <c r="BD26" s="44"/>
      <c r="BE26" s="44"/>
      <c r="BF26" s="43">
        <f t="shared" si="2"/>
        <v>0</v>
      </c>
      <c r="BG26" s="43">
        <f t="shared" si="3"/>
        <v>0</v>
      </c>
      <c r="BH26" s="43">
        <f t="shared" si="4"/>
        <v>0</v>
      </c>
      <c r="BI26" s="43">
        <f t="shared" si="21"/>
        <v>0</v>
      </c>
      <c r="BJ26" s="43">
        <f t="shared" si="22"/>
        <v>0</v>
      </c>
      <c r="BL26" s="45">
        <f t="shared" si="23"/>
        <v>0</v>
      </c>
      <c r="BM26" s="45">
        <f t="shared" si="24"/>
        <v>0</v>
      </c>
      <c r="BN26" s="45">
        <f t="shared" si="25"/>
        <v>0</v>
      </c>
      <c r="BO26" s="45">
        <f t="shared" si="26"/>
        <v>0</v>
      </c>
      <c r="BP26" s="45">
        <f t="shared" si="27"/>
        <v>0</v>
      </c>
      <c r="BQ26" s="45">
        <f t="shared" si="5"/>
        <v>0</v>
      </c>
    </row>
    <row r="27" spans="1:69" ht="12.75" customHeight="1">
      <c r="A27" s="38"/>
      <c r="B27" s="39"/>
      <c r="C27" s="40"/>
      <c r="D27" s="41"/>
      <c r="E27" s="42">
        <f t="shared" si="6"/>
      </c>
      <c r="F27" s="42">
        <f t="shared" si="7"/>
      </c>
      <c r="G27" s="136"/>
      <c r="H27" s="43">
        <f>IF($C$9="",SUMIF(time100,D27,data!$L$16:$L$21),SUMIF(packs,$C$9,data!$L$10:$L$12))</f>
        <v>0</v>
      </c>
      <c r="I27" s="91">
        <f t="shared" si="8"/>
        <v>0</v>
      </c>
      <c r="J27" s="43">
        <f t="shared" si="1"/>
        <v>0</v>
      </c>
      <c r="K27" s="33" t="b">
        <f t="shared" si="9"/>
        <v>0</v>
      </c>
      <c r="L27" s="35">
        <f t="shared" si="10"/>
        <v>0</v>
      </c>
      <c r="M27" s="33" t="b">
        <f t="shared" si="11"/>
        <v>0</v>
      </c>
      <c r="N27" s="35">
        <f t="shared" si="12"/>
        <v>0</v>
      </c>
      <c r="O27" s="33" t="b">
        <f t="shared" si="13"/>
        <v>0</v>
      </c>
      <c r="P27" s="35">
        <f t="shared" si="14"/>
        <v>0</v>
      </c>
      <c r="Q27" s="33" t="b">
        <f t="shared" si="15"/>
        <v>0</v>
      </c>
      <c r="R27" s="35">
        <f t="shared" si="16"/>
        <v>0</v>
      </c>
      <c r="S27" s="33" t="b">
        <f t="shared" si="17"/>
        <v>0</v>
      </c>
      <c r="T27" s="35">
        <f t="shared" si="18"/>
        <v>0</v>
      </c>
      <c r="U27" s="33" t="b">
        <f t="shared" si="19"/>
        <v>0</v>
      </c>
      <c r="V27" s="35">
        <f t="shared" si="20"/>
        <v>0</v>
      </c>
      <c r="W27" s="35">
        <f>IF(BC27="",1,VLOOKUP(BC27,data!$C$3:$D$10,2,FALSE))*(1+BD27)</f>
        <v>1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38"/>
      <c r="BD27" s="44"/>
      <c r="BE27" s="44"/>
      <c r="BF27" s="43">
        <f t="shared" si="2"/>
        <v>0</v>
      </c>
      <c r="BG27" s="43">
        <f t="shared" si="3"/>
        <v>0</v>
      </c>
      <c r="BH27" s="43">
        <f t="shared" si="4"/>
        <v>0</v>
      </c>
      <c r="BI27" s="43">
        <f t="shared" si="21"/>
        <v>0</v>
      </c>
      <c r="BJ27" s="43">
        <f t="shared" si="22"/>
        <v>0</v>
      </c>
      <c r="BL27" s="45">
        <f t="shared" si="23"/>
        <v>0</v>
      </c>
      <c r="BM27" s="45">
        <f t="shared" si="24"/>
        <v>0</v>
      </c>
      <c r="BN27" s="45">
        <f t="shared" si="25"/>
        <v>0</v>
      </c>
      <c r="BO27" s="45">
        <f t="shared" si="26"/>
        <v>0</v>
      </c>
      <c r="BP27" s="45">
        <f t="shared" si="27"/>
        <v>0</v>
      </c>
      <c r="BQ27" s="45">
        <f t="shared" si="5"/>
        <v>0</v>
      </c>
    </row>
    <row r="28" spans="1:69" ht="12.75" customHeight="1">
      <c r="A28" s="38"/>
      <c r="B28" s="39"/>
      <c r="C28" s="40"/>
      <c r="D28" s="41"/>
      <c r="E28" s="42">
        <f t="shared" si="6"/>
      </c>
      <c r="F28" s="42">
        <f t="shared" si="7"/>
      </c>
      <c r="G28" s="136"/>
      <c r="H28" s="43">
        <f>IF($C$9="",SUMIF(time100,D28,data!$L$16:$L$21),SUMIF(packs,$C$9,data!$L$10:$L$12))</f>
        <v>0</v>
      </c>
      <c r="I28" s="91">
        <f t="shared" si="8"/>
        <v>0</v>
      </c>
      <c r="J28" s="43">
        <f t="shared" si="1"/>
        <v>0</v>
      </c>
      <c r="K28" s="33" t="b">
        <f t="shared" si="9"/>
        <v>0</v>
      </c>
      <c r="L28" s="35">
        <f t="shared" si="10"/>
        <v>0</v>
      </c>
      <c r="M28" s="33" t="b">
        <f t="shared" si="11"/>
        <v>0</v>
      </c>
      <c r="N28" s="35">
        <f t="shared" si="12"/>
        <v>0</v>
      </c>
      <c r="O28" s="33" t="b">
        <f t="shared" si="13"/>
        <v>0</v>
      </c>
      <c r="P28" s="35">
        <f t="shared" si="14"/>
        <v>0</v>
      </c>
      <c r="Q28" s="33" t="b">
        <f t="shared" si="15"/>
        <v>0</v>
      </c>
      <c r="R28" s="35">
        <f t="shared" si="16"/>
        <v>0</v>
      </c>
      <c r="S28" s="33" t="b">
        <f t="shared" si="17"/>
        <v>0</v>
      </c>
      <c r="T28" s="35">
        <f t="shared" si="18"/>
        <v>0</v>
      </c>
      <c r="U28" s="33" t="b">
        <f t="shared" si="19"/>
        <v>0</v>
      </c>
      <c r="V28" s="35">
        <f t="shared" si="20"/>
        <v>0</v>
      </c>
      <c r="W28" s="35">
        <f>IF(BC28="",1,VLOOKUP(BC28,data!$C$3:$D$10,2,FALSE))*(1+BD28)</f>
        <v>1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38"/>
      <c r="BD28" s="44"/>
      <c r="BE28" s="44"/>
      <c r="BF28" s="43">
        <f t="shared" si="2"/>
        <v>0</v>
      </c>
      <c r="BG28" s="43">
        <f t="shared" si="3"/>
        <v>0</v>
      </c>
      <c r="BH28" s="43">
        <f t="shared" si="4"/>
        <v>0</v>
      </c>
      <c r="BI28" s="43">
        <f t="shared" si="21"/>
        <v>0</v>
      </c>
      <c r="BJ28" s="43">
        <f t="shared" si="22"/>
        <v>0</v>
      </c>
      <c r="BL28" s="45">
        <f t="shared" si="23"/>
        <v>0</v>
      </c>
      <c r="BM28" s="45">
        <f t="shared" si="24"/>
        <v>0</v>
      </c>
      <c r="BN28" s="45">
        <f t="shared" si="25"/>
        <v>0</v>
      </c>
      <c r="BO28" s="45">
        <f t="shared" si="26"/>
        <v>0</v>
      </c>
      <c r="BP28" s="45">
        <f t="shared" si="27"/>
        <v>0</v>
      </c>
      <c r="BQ28" s="45">
        <f t="shared" si="5"/>
        <v>0</v>
      </c>
    </row>
    <row r="29" spans="1:69" ht="12.75" customHeight="1">
      <c r="A29" s="38"/>
      <c r="B29" s="39"/>
      <c r="C29" s="40"/>
      <c r="D29" s="41"/>
      <c r="E29" s="42">
        <f t="shared" si="6"/>
      </c>
      <c r="F29" s="42">
        <f t="shared" si="7"/>
      </c>
      <c r="G29" s="136"/>
      <c r="H29" s="43">
        <f>IF($C$9="",SUMIF(time100,D29,data!$L$16:$L$21),SUMIF(packs,$C$9,data!$L$10:$L$12))</f>
        <v>0</v>
      </c>
      <c r="I29" s="91">
        <f t="shared" si="8"/>
        <v>0</v>
      </c>
      <c r="J29" s="43">
        <f t="shared" si="1"/>
        <v>0</v>
      </c>
      <c r="K29" s="33" t="b">
        <f t="shared" si="9"/>
        <v>0</v>
      </c>
      <c r="L29" s="35">
        <f t="shared" si="10"/>
        <v>0</v>
      </c>
      <c r="M29" s="33" t="b">
        <f t="shared" si="11"/>
        <v>0</v>
      </c>
      <c r="N29" s="35">
        <f t="shared" si="12"/>
        <v>0</v>
      </c>
      <c r="O29" s="33" t="b">
        <f t="shared" si="13"/>
        <v>0</v>
      </c>
      <c r="P29" s="35">
        <f t="shared" si="14"/>
        <v>0</v>
      </c>
      <c r="Q29" s="33" t="b">
        <f t="shared" si="15"/>
        <v>0</v>
      </c>
      <c r="R29" s="35">
        <f t="shared" si="16"/>
        <v>0</v>
      </c>
      <c r="S29" s="33" t="b">
        <f t="shared" si="17"/>
        <v>0</v>
      </c>
      <c r="T29" s="35">
        <f t="shared" si="18"/>
        <v>0</v>
      </c>
      <c r="U29" s="33" t="b">
        <f t="shared" si="19"/>
        <v>0</v>
      </c>
      <c r="V29" s="35">
        <f t="shared" si="20"/>
        <v>0</v>
      </c>
      <c r="W29" s="35">
        <f>IF(BC29="",1,VLOOKUP(BC29,data!$C$3:$D$10,2,FALSE))*(1+BD29)</f>
        <v>1</v>
      </c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38"/>
      <c r="BD29" s="44"/>
      <c r="BE29" s="44"/>
      <c r="BF29" s="43">
        <f t="shared" si="2"/>
        <v>0</v>
      </c>
      <c r="BG29" s="43">
        <f t="shared" si="3"/>
        <v>0</v>
      </c>
      <c r="BH29" s="43">
        <f t="shared" si="4"/>
        <v>0</v>
      </c>
      <c r="BI29" s="43">
        <f t="shared" si="21"/>
        <v>0</v>
      </c>
      <c r="BJ29" s="43">
        <f t="shared" si="22"/>
        <v>0</v>
      </c>
      <c r="BL29" s="45">
        <f t="shared" si="23"/>
        <v>0</v>
      </c>
      <c r="BM29" s="45">
        <f t="shared" si="24"/>
        <v>0</v>
      </c>
      <c r="BN29" s="45">
        <f t="shared" si="25"/>
        <v>0</v>
      </c>
      <c r="BO29" s="45">
        <f t="shared" si="26"/>
        <v>0</v>
      </c>
      <c r="BP29" s="45">
        <f t="shared" si="27"/>
        <v>0</v>
      </c>
      <c r="BQ29" s="45">
        <f t="shared" si="5"/>
        <v>0</v>
      </c>
    </row>
    <row r="30" spans="1:69" ht="12.75" customHeight="1">
      <c r="A30" s="38"/>
      <c r="B30" s="39"/>
      <c r="C30" s="40"/>
      <c r="D30" s="41"/>
      <c r="E30" s="42">
        <f t="shared" si="6"/>
      </c>
      <c r="F30" s="42">
        <f t="shared" si="7"/>
      </c>
      <c r="G30" s="136"/>
      <c r="H30" s="43">
        <f>IF($C$9="",SUMIF(time100,D30,data!$L$16:$L$21),SUMIF(packs,$C$9,data!$L$10:$L$12))</f>
        <v>0</v>
      </c>
      <c r="I30" s="91">
        <f t="shared" si="8"/>
        <v>0</v>
      </c>
      <c r="J30" s="43">
        <f t="shared" si="1"/>
        <v>0</v>
      </c>
      <c r="K30" s="33" t="b">
        <f t="shared" si="9"/>
        <v>0</v>
      </c>
      <c r="L30" s="35">
        <f t="shared" si="10"/>
        <v>0</v>
      </c>
      <c r="M30" s="33" t="b">
        <f t="shared" si="11"/>
        <v>0</v>
      </c>
      <c r="N30" s="35">
        <f t="shared" si="12"/>
        <v>0</v>
      </c>
      <c r="O30" s="33" t="b">
        <f t="shared" si="13"/>
        <v>0</v>
      </c>
      <c r="P30" s="35">
        <f t="shared" si="14"/>
        <v>0</v>
      </c>
      <c r="Q30" s="33" t="b">
        <f t="shared" si="15"/>
        <v>0</v>
      </c>
      <c r="R30" s="35">
        <f t="shared" si="16"/>
        <v>0</v>
      </c>
      <c r="S30" s="33" t="b">
        <f t="shared" si="17"/>
        <v>0</v>
      </c>
      <c r="T30" s="35">
        <f t="shared" si="18"/>
        <v>0</v>
      </c>
      <c r="U30" s="33" t="b">
        <f t="shared" si="19"/>
        <v>0</v>
      </c>
      <c r="V30" s="35">
        <f t="shared" si="20"/>
        <v>0</v>
      </c>
      <c r="W30" s="35">
        <f>IF(BC30="",1,VLOOKUP(BC30,data!$C$3:$D$10,2,FALSE))*(1+BD30)</f>
        <v>1</v>
      </c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38"/>
      <c r="BD30" s="44"/>
      <c r="BE30" s="44"/>
      <c r="BF30" s="43">
        <f t="shared" si="2"/>
        <v>0</v>
      </c>
      <c r="BG30" s="43">
        <f t="shared" si="3"/>
        <v>0</v>
      </c>
      <c r="BH30" s="43">
        <f t="shared" si="4"/>
        <v>0</v>
      </c>
      <c r="BI30" s="43">
        <f t="shared" si="21"/>
        <v>0</v>
      </c>
      <c r="BJ30" s="43">
        <f t="shared" si="22"/>
        <v>0</v>
      </c>
      <c r="BL30" s="45">
        <f t="shared" si="23"/>
        <v>0</v>
      </c>
      <c r="BM30" s="45">
        <f t="shared" si="24"/>
        <v>0</v>
      </c>
      <c r="BN30" s="45">
        <f t="shared" si="25"/>
        <v>0</v>
      </c>
      <c r="BO30" s="45">
        <f t="shared" si="26"/>
        <v>0</v>
      </c>
      <c r="BP30" s="45">
        <f t="shared" si="27"/>
        <v>0</v>
      </c>
      <c r="BQ30" s="45">
        <f t="shared" si="5"/>
        <v>0</v>
      </c>
    </row>
    <row r="31" spans="1:69" ht="12.75" customHeight="1">
      <c r="A31" s="38"/>
      <c r="B31" s="39"/>
      <c r="C31" s="40"/>
      <c r="D31" s="41"/>
      <c r="E31" s="42">
        <f t="shared" si="6"/>
      </c>
      <c r="F31" s="42">
        <f t="shared" si="7"/>
      </c>
      <c r="G31" s="136"/>
      <c r="H31" s="43">
        <f>IF($C$9="",SUMIF(time100,D31,data!$L$16:$L$21),SUMIF(packs,$C$9,data!$L$10:$L$12))</f>
        <v>0</v>
      </c>
      <c r="I31" s="91">
        <f t="shared" si="8"/>
        <v>0</v>
      </c>
      <c r="J31" s="43">
        <f t="shared" si="1"/>
        <v>0</v>
      </c>
      <c r="K31" s="33" t="b">
        <f t="shared" si="9"/>
        <v>0</v>
      </c>
      <c r="L31" s="35">
        <f t="shared" si="10"/>
        <v>0</v>
      </c>
      <c r="M31" s="33" t="b">
        <f t="shared" si="11"/>
        <v>0</v>
      </c>
      <c r="N31" s="35">
        <f t="shared" si="12"/>
        <v>0</v>
      </c>
      <c r="O31" s="33" t="b">
        <f t="shared" si="13"/>
        <v>0</v>
      </c>
      <c r="P31" s="35">
        <f t="shared" si="14"/>
        <v>0</v>
      </c>
      <c r="Q31" s="33" t="b">
        <f t="shared" si="15"/>
        <v>0</v>
      </c>
      <c r="R31" s="35">
        <f t="shared" si="16"/>
        <v>0</v>
      </c>
      <c r="S31" s="33" t="b">
        <f t="shared" si="17"/>
        <v>0</v>
      </c>
      <c r="T31" s="35">
        <f t="shared" si="18"/>
        <v>0</v>
      </c>
      <c r="U31" s="33" t="b">
        <f t="shared" si="19"/>
        <v>0</v>
      </c>
      <c r="V31" s="35">
        <f t="shared" si="20"/>
        <v>0</v>
      </c>
      <c r="W31" s="35">
        <f>IF(BC31="",1,VLOOKUP(BC31,data!$C$3:$D$10,2,FALSE))*(1+BD31)</f>
        <v>1</v>
      </c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38"/>
      <c r="BD31" s="44"/>
      <c r="BE31" s="44"/>
      <c r="BF31" s="43">
        <f t="shared" si="2"/>
        <v>0</v>
      </c>
      <c r="BG31" s="43">
        <f t="shared" si="3"/>
        <v>0</v>
      </c>
      <c r="BH31" s="43">
        <f t="shared" si="4"/>
        <v>0</v>
      </c>
      <c r="BI31" s="43">
        <f t="shared" si="21"/>
        <v>0</v>
      </c>
      <c r="BJ31" s="43">
        <f t="shared" si="22"/>
        <v>0</v>
      </c>
      <c r="BL31" s="45">
        <f t="shared" si="23"/>
        <v>0</v>
      </c>
      <c r="BM31" s="45">
        <f t="shared" si="24"/>
        <v>0</v>
      </c>
      <c r="BN31" s="45">
        <f t="shared" si="25"/>
        <v>0</v>
      </c>
      <c r="BO31" s="45">
        <f t="shared" si="26"/>
        <v>0</v>
      </c>
      <c r="BP31" s="45">
        <f t="shared" si="27"/>
        <v>0</v>
      </c>
      <c r="BQ31" s="45">
        <f t="shared" si="5"/>
        <v>0</v>
      </c>
    </row>
    <row r="32" spans="1:69" ht="12.75" customHeight="1">
      <c r="A32" s="38"/>
      <c r="B32" s="39"/>
      <c r="C32" s="40"/>
      <c r="D32" s="41"/>
      <c r="E32" s="42">
        <f t="shared" si="6"/>
      </c>
      <c r="F32" s="42">
        <f t="shared" si="7"/>
      </c>
      <c r="G32" s="136"/>
      <c r="H32" s="43">
        <f>IF($C$9="",SUMIF(time100,D32,data!$L$16:$L$21),SUMIF(packs,$C$9,data!$L$10:$L$12))</f>
        <v>0</v>
      </c>
      <c r="I32" s="91">
        <f t="shared" si="8"/>
        <v>0</v>
      </c>
      <c r="J32" s="43">
        <f t="shared" si="1"/>
        <v>0</v>
      </c>
      <c r="K32" s="33" t="b">
        <f t="shared" si="9"/>
        <v>0</v>
      </c>
      <c r="L32" s="35">
        <f t="shared" si="10"/>
        <v>0</v>
      </c>
      <c r="M32" s="33" t="b">
        <f t="shared" si="11"/>
        <v>0</v>
      </c>
      <c r="N32" s="35">
        <f t="shared" si="12"/>
        <v>0</v>
      </c>
      <c r="O32" s="33" t="b">
        <f t="shared" si="13"/>
        <v>0</v>
      </c>
      <c r="P32" s="35">
        <f t="shared" si="14"/>
        <v>0</v>
      </c>
      <c r="Q32" s="33" t="b">
        <f t="shared" si="15"/>
        <v>0</v>
      </c>
      <c r="R32" s="35">
        <f t="shared" si="16"/>
        <v>0</v>
      </c>
      <c r="S32" s="33" t="b">
        <f t="shared" si="17"/>
        <v>0</v>
      </c>
      <c r="T32" s="35">
        <f t="shared" si="18"/>
        <v>0</v>
      </c>
      <c r="U32" s="33" t="b">
        <f t="shared" si="19"/>
        <v>0</v>
      </c>
      <c r="V32" s="35">
        <f t="shared" si="20"/>
        <v>0</v>
      </c>
      <c r="W32" s="35">
        <f>IF(BC32="",1,VLOOKUP(BC32,data!$C$3:$D$10,2,FALSE))*(1+BD32)</f>
        <v>1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38"/>
      <c r="BD32" s="44"/>
      <c r="BE32" s="44"/>
      <c r="BF32" s="43">
        <f t="shared" si="2"/>
        <v>0</v>
      </c>
      <c r="BG32" s="43">
        <f t="shared" si="3"/>
        <v>0</v>
      </c>
      <c r="BH32" s="43">
        <f t="shared" si="4"/>
        <v>0</v>
      </c>
      <c r="BI32" s="43">
        <f t="shared" si="21"/>
        <v>0</v>
      </c>
      <c r="BJ32" s="43">
        <f t="shared" si="22"/>
        <v>0</v>
      </c>
      <c r="BL32" s="45">
        <f t="shared" si="23"/>
        <v>0</v>
      </c>
      <c r="BM32" s="45">
        <f t="shared" si="24"/>
        <v>0</v>
      </c>
      <c r="BN32" s="45">
        <f t="shared" si="25"/>
        <v>0</v>
      </c>
      <c r="BO32" s="45">
        <f t="shared" si="26"/>
        <v>0</v>
      </c>
      <c r="BP32" s="45">
        <f t="shared" si="27"/>
        <v>0</v>
      </c>
      <c r="BQ32" s="45">
        <f t="shared" si="5"/>
        <v>0</v>
      </c>
    </row>
    <row r="33" spans="1:69" ht="12.75" customHeight="1">
      <c r="A33" s="38"/>
      <c r="B33" s="39"/>
      <c r="C33" s="40"/>
      <c r="D33" s="41"/>
      <c r="E33" s="42">
        <f t="shared" si="6"/>
      </c>
      <c r="F33" s="42">
        <f t="shared" si="7"/>
      </c>
      <c r="G33" s="136"/>
      <c r="H33" s="43">
        <f>IF($C$9="",SUMIF(time100,D33,data!$L$16:$L$21),SUMIF(packs,$C$9,data!$L$10:$L$12))</f>
        <v>0</v>
      </c>
      <c r="I33" s="91">
        <f t="shared" si="8"/>
        <v>0</v>
      </c>
      <c r="J33" s="43">
        <f t="shared" si="1"/>
        <v>0</v>
      </c>
      <c r="K33" s="33" t="b">
        <f t="shared" si="9"/>
        <v>0</v>
      </c>
      <c r="L33" s="35">
        <f t="shared" si="10"/>
        <v>0</v>
      </c>
      <c r="M33" s="33" t="b">
        <f t="shared" si="11"/>
        <v>0</v>
      </c>
      <c r="N33" s="35">
        <f t="shared" si="12"/>
        <v>0</v>
      </c>
      <c r="O33" s="33" t="b">
        <f t="shared" si="13"/>
        <v>0</v>
      </c>
      <c r="P33" s="35">
        <f t="shared" si="14"/>
        <v>0</v>
      </c>
      <c r="Q33" s="33" t="b">
        <f t="shared" si="15"/>
        <v>0</v>
      </c>
      <c r="R33" s="35">
        <f t="shared" si="16"/>
        <v>0</v>
      </c>
      <c r="S33" s="33" t="b">
        <f t="shared" si="17"/>
        <v>0</v>
      </c>
      <c r="T33" s="35">
        <f t="shared" si="18"/>
        <v>0</v>
      </c>
      <c r="U33" s="33" t="b">
        <f t="shared" si="19"/>
        <v>0</v>
      </c>
      <c r="V33" s="35">
        <f t="shared" si="20"/>
        <v>0</v>
      </c>
      <c r="W33" s="35">
        <f>IF(BC33="",1,VLOOKUP(BC33,data!$C$3:$D$10,2,FALSE))*(1+BD33)</f>
        <v>1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38"/>
      <c r="BD33" s="44"/>
      <c r="BE33" s="44"/>
      <c r="BF33" s="43">
        <f t="shared" si="2"/>
        <v>0</v>
      </c>
      <c r="BG33" s="43">
        <f t="shared" si="3"/>
        <v>0</v>
      </c>
      <c r="BH33" s="43">
        <f t="shared" si="4"/>
        <v>0</v>
      </c>
      <c r="BI33" s="43">
        <f t="shared" si="21"/>
        <v>0</v>
      </c>
      <c r="BJ33" s="43">
        <f t="shared" si="22"/>
        <v>0</v>
      </c>
      <c r="BL33" s="45">
        <f t="shared" si="23"/>
        <v>0</v>
      </c>
      <c r="BM33" s="45">
        <f t="shared" si="24"/>
        <v>0</v>
      </c>
      <c r="BN33" s="45">
        <f t="shared" si="25"/>
        <v>0</v>
      </c>
      <c r="BO33" s="45">
        <f t="shared" si="26"/>
        <v>0</v>
      </c>
      <c r="BP33" s="45">
        <f t="shared" si="27"/>
        <v>0</v>
      </c>
      <c r="BQ33" s="45">
        <f t="shared" si="5"/>
        <v>0</v>
      </c>
    </row>
    <row r="34" spans="1:69" ht="12.75" customHeight="1">
      <c r="A34" s="38"/>
      <c r="B34" s="39"/>
      <c r="C34" s="40"/>
      <c r="D34" s="41"/>
      <c r="E34" s="42">
        <f t="shared" si="6"/>
      </c>
      <c r="F34" s="42">
        <f t="shared" si="7"/>
      </c>
      <c r="G34" s="136"/>
      <c r="H34" s="43">
        <f>IF($C$9="",SUMIF(time100,D34,data!$L$16:$L$21),SUMIF(packs,$C$9,data!$L$10:$L$12))</f>
        <v>0</v>
      </c>
      <c r="I34" s="91">
        <f t="shared" si="8"/>
        <v>0</v>
      </c>
      <c r="J34" s="43">
        <f t="shared" si="1"/>
        <v>0</v>
      </c>
      <c r="K34" s="33" t="b">
        <f t="shared" si="9"/>
        <v>0</v>
      </c>
      <c r="L34" s="35">
        <f t="shared" si="10"/>
        <v>0</v>
      </c>
      <c r="M34" s="33" t="b">
        <f t="shared" si="11"/>
        <v>0</v>
      </c>
      <c r="N34" s="35">
        <f t="shared" si="12"/>
        <v>0</v>
      </c>
      <c r="O34" s="33" t="b">
        <f t="shared" si="13"/>
        <v>0</v>
      </c>
      <c r="P34" s="35">
        <f t="shared" si="14"/>
        <v>0</v>
      </c>
      <c r="Q34" s="33" t="b">
        <f t="shared" si="15"/>
        <v>0</v>
      </c>
      <c r="R34" s="35">
        <f t="shared" si="16"/>
        <v>0</v>
      </c>
      <c r="S34" s="33" t="b">
        <f t="shared" si="17"/>
        <v>0</v>
      </c>
      <c r="T34" s="35">
        <f t="shared" si="18"/>
        <v>0</v>
      </c>
      <c r="U34" s="33" t="b">
        <f t="shared" si="19"/>
        <v>0</v>
      </c>
      <c r="V34" s="35">
        <f t="shared" si="20"/>
        <v>0</v>
      </c>
      <c r="W34" s="35">
        <f>IF(BC34="",1,VLOOKUP(BC34,data!$C$3:$D$10,2,FALSE))*(1+BD34)</f>
        <v>1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38"/>
      <c r="BD34" s="44"/>
      <c r="BE34" s="44"/>
      <c r="BF34" s="43">
        <f t="shared" si="2"/>
        <v>0</v>
      </c>
      <c r="BG34" s="43">
        <f t="shared" si="3"/>
        <v>0</v>
      </c>
      <c r="BH34" s="43">
        <f t="shared" si="4"/>
        <v>0</v>
      </c>
      <c r="BI34" s="43">
        <f t="shared" si="21"/>
        <v>0</v>
      </c>
      <c r="BJ34" s="43">
        <f t="shared" si="22"/>
        <v>0</v>
      </c>
      <c r="BL34" s="45">
        <f t="shared" si="23"/>
        <v>0</v>
      </c>
      <c r="BM34" s="45">
        <f t="shared" si="24"/>
        <v>0</v>
      </c>
      <c r="BN34" s="45">
        <f t="shared" si="25"/>
        <v>0</v>
      </c>
      <c r="BO34" s="45">
        <f t="shared" si="26"/>
        <v>0</v>
      </c>
      <c r="BP34" s="45">
        <f t="shared" si="27"/>
        <v>0</v>
      </c>
      <c r="BQ34" s="45">
        <f t="shared" si="5"/>
        <v>0</v>
      </c>
    </row>
    <row r="35" spans="1:69" ht="12.75" customHeight="1">
      <c r="A35" s="38"/>
      <c r="B35" s="39"/>
      <c r="C35" s="40"/>
      <c r="D35" s="41"/>
      <c r="E35" s="42">
        <f t="shared" si="6"/>
      </c>
      <c r="F35" s="42">
        <f t="shared" si="7"/>
      </c>
      <c r="G35" s="136"/>
      <c r="H35" s="43">
        <f>IF($C$9="",SUMIF(time100,D35,data!$L$16:$L$21),SUMIF(packs,$C$9,data!$L$10:$L$12))</f>
        <v>0</v>
      </c>
      <c r="I35" s="91">
        <f t="shared" si="8"/>
        <v>0</v>
      </c>
      <c r="J35" s="43">
        <f t="shared" si="1"/>
        <v>0</v>
      </c>
      <c r="K35" s="33" t="b">
        <f t="shared" si="9"/>
        <v>0</v>
      </c>
      <c r="L35" s="35">
        <f t="shared" si="10"/>
        <v>0</v>
      </c>
      <c r="M35" s="33" t="b">
        <f t="shared" si="11"/>
        <v>0</v>
      </c>
      <c r="N35" s="35">
        <f t="shared" si="12"/>
        <v>0</v>
      </c>
      <c r="O35" s="33" t="b">
        <f t="shared" si="13"/>
        <v>0</v>
      </c>
      <c r="P35" s="35">
        <f t="shared" si="14"/>
        <v>0</v>
      </c>
      <c r="Q35" s="33" t="b">
        <f t="shared" si="15"/>
        <v>0</v>
      </c>
      <c r="R35" s="35">
        <f t="shared" si="16"/>
        <v>0</v>
      </c>
      <c r="S35" s="33" t="b">
        <f t="shared" si="17"/>
        <v>0</v>
      </c>
      <c r="T35" s="35">
        <f t="shared" si="18"/>
        <v>0</v>
      </c>
      <c r="U35" s="33" t="b">
        <f t="shared" si="19"/>
        <v>0</v>
      </c>
      <c r="V35" s="35">
        <f t="shared" si="20"/>
        <v>0</v>
      </c>
      <c r="W35" s="35">
        <f>IF(BC35="",1,VLOOKUP(BC35,data!$C$3:$D$10,2,FALSE))*(1+BD35)</f>
        <v>1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38"/>
      <c r="BD35" s="44"/>
      <c r="BE35" s="44"/>
      <c r="BF35" s="43">
        <f t="shared" si="2"/>
        <v>0</v>
      </c>
      <c r="BG35" s="43">
        <f t="shared" si="3"/>
        <v>0</v>
      </c>
      <c r="BH35" s="43">
        <f t="shared" si="4"/>
        <v>0</v>
      </c>
      <c r="BI35" s="43">
        <f t="shared" si="21"/>
        <v>0</v>
      </c>
      <c r="BJ35" s="43">
        <f t="shared" si="22"/>
        <v>0</v>
      </c>
      <c r="BL35" s="45">
        <f t="shared" si="23"/>
        <v>0</v>
      </c>
      <c r="BM35" s="45">
        <f t="shared" si="24"/>
        <v>0</v>
      </c>
      <c r="BN35" s="45">
        <f t="shared" si="25"/>
        <v>0</v>
      </c>
      <c r="BO35" s="45">
        <f t="shared" si="26"/>
        <v>0</v>
      </c>
      <c r="BP35" s="45">
        <f t="shared" si="27"/>
        <v>0</v>
      </c>
      <c r="BQ35" s="45">
        <f t="shared" si="5"/>
        <v>0</v>
      </c>
    </row>
    <row r="36" spans="1:69" ht="12.75" customHeight="1">
      <c r="A36" s="38"/>
      <c r="B36" s="39"/>
      <c r="C36" s="40"/>
      <c r="D36" s="41"/>
      <c r="E36" s="42">
        <f t="shared" si="6"/>
      </c>
      <c r="F36" s="42">
        <f t="shared" si="7"/>
      </c>
      <c r="G36" s="136"/>
      <c r="H36" s="43">
        <f>IF($C$9="",SUMIF(time100,D36,data!$L$16:$L$21),SUMIF(packs,$C$9,data!$L$10:$L$12))</f>
        <v>0</v>
      </c>
      <c r="I36" s="91">
        <f t="shared" si="8"/>
        <v>0</v>
      </c>
      <c r="J36" s="43">
        <f t="shared" si="1"/>
        <v>0</v>
      </c>
      <c r="K36" s="33" t="b">
        <f t="shared" si="9"/>
        <v>0</v>
      </c>
      <c r="L36" s="35">
        <f t="shared" si="10"/>
        <v>0</v>
      </c>
      <c r="M36" s="33" t="b">
        <f t="shared" si="11"/>
        <v>0</v>
      </c>
      <c r="N36" s="35">
        <f t="shared" si="12"/>
        <v>0</v>
      </c>
      <c r="O36" s="33" t="b">
        <f t="shared" si="13"/>
        <v>0</v>
      </c>
      <c r="P36" s="35">
        <f t="shared" si="14"/>
        <v>0</v>
      </c>
      <c r="Q36" s="33" t="b">
        <f t="shared" si="15"/>
        <v>0</v>
      </c>
      <c r="R36" s="35">
        <f t="shared" si="16"/>
        <v>0</v>
      </c>
      <c r="S36" s="33" t="b">
        <f t="shared" si="17"/>
        <v>0</v>
      </c>
      <c r="T36" s="35">
        <f t="shared" si="18"/>
        <v>0</v>
      </c>
      <c r="U36" s="33" t="b">
        <f t="shared" si="19"/>
        <v>0</v>
      </c>
      <c r="V36" s="35">
        <f t="shared" si="20"/>
        <v>0</v>
      </c>
      <c r="W36" s="35">
        <f>IF(BC36="",1,VLOOKUP(BC36,data!$C$3:$D$10,2,FALSE))*(1+BD36)</f>
        <v>1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38"/>
      <c r="BD36" s="44"/>
      <c r="BE36" s="44"/>
      <c r="BF36" s="43">
        <f t="shared" si="2"/>
        <v>0</v>
      </c>
      <c r="BG36" s="43">
        <f t="shared" si="3"/>
        <v>0</v>
      </c>
      <c r="BH36" s="43">
        <f t="shared" si="4"/>
        <v>0</v>
      </c>
      <c r="BI36" s="43">
        <f t="shared" si="21"/>
        <v>0</v>
      </c>
      <c r="BJ36" s="43">
        <f t="shared" si="22"/>
        <v>0</v>
      </c>
      <c r="BL36" s="45">
        <f t="shared" si="23"/>
        <v>0</v>
      </c>
      <c r="BM36" s="45">
        <f t="shared" si="24"/>
        <v>0</v>
      </c>
      <c r="BN36" s="45">
        <f t="shared" si="25"/>
        <v>0</v>
      </c>
      <c r="BO36" s="45">
        <f t="shared" si="26"/>
        <v>0</v>
      </c>
      <c r="BP36" s="45">
        <f t="shared" si="27"/>
        <v>0</v>
      </c>
      <c r="BQ36" s="45">
        <f t="shared" si="5"/>
        <v>0</v>
      </c>
    </row>
    <row r="37" spans="1:69" s="78" customFormat="1" ht="12.75" customHeight="1">
      <c r="A37" s="70"/>
      <c r="B37" s="71"/>
      <c r="C37" s="71"/>
      <c r="D37" s="72"/>
      <c r="E37" s="72"/>
      <c r="F37" s="72"/>
      <c r="G37" s="73"/>
      <c r="H37" s="67" t="str">
        <f>IF($B$7="BG","Тотал:","Total:")</f>
        <v>Тотал:</v>
      </c>
      <c r="I37" s="181">
        <f>SUM(I17:I36)</f>
        <v>0</v>
      </c>
      <c r="J37" s="182">
        <f>SUM(J17:J36)</f>
        <v>0</v>
      </c>
      <c r="K37" s="74"/>
      <c r="L37" s="74">
        <f>SUM(L17:L36)</f>
        <v>0</v>
      </c>
      <c r="M37" s="74"/>
      <c r="N37" s="74">
        <f>SUM(N17:N36)</f>
        <v>0</v>
      </c>
      <c r="O37" s="74"/>
      <c r="P37" s="74">
        <f>SUM(P17:P36)</f>
        <v>0</v>
      </c>
      <c r="Q37" s="74"/>
      <c r="R37" s="74">
        <f>SUM(R17:R36)</f>
        <v>0</v>
      </c>
      <c r="S37" s="74"/>
      <c r="T37" s="74">
        <f>SUM(T17:T36)</f>
        <v>0</v>
      </c>
      <c r="U37" s="74"/>
      <c r="V37" s="74">
        <f>SUM(V17:V36)</f>
        <v>0</v>
      </c>
      <c r="W37" s="75"/>
      <c r="X37" s="76">
        <f>COUNTA(X17:X36)</f>
        <v>0</v>
      </c>
      <c r="Y37" s="76">
        <f aca="true" t="shared" si="28" ref="Y37:BB37">COUNTA(Y17:Y36)</f>
        <v>0</v>
      </c>
      <c r="Z37" s="76">
        <f t="shared" si="28"/>
        <v>0</v>
      </c>
      <c r="AA37" s="76">
        <f t="shared" si="28"/>
        <v>0</v>
      </c>
      <c r="AB37" s="76">
        <f t="shared" si="28"/>
        <v>0</v>
      </c>
      <c r="AC37" s="76">
        <f t="shared" si="28"/>
        <v>0</v>
      </c>
      <c r="AD37" s="76">
        <f t="shared" si="28"/>
        <v>0</v>
      </c>
      <c r="AE37" s="76">
        <f t="shared" si="28"/>
        <v>0</v>
      </c>
      <c r="AF37" s="76">
        <f t="shared" si="28"/>
        <v>0</v>
      </c>
      <c r="AG37" s="76">
        <f t="shared" si="28"/>
        <v>0</v>
      </c>
      <c r="AH37" s="76">
        <f t="shared" si="28"/>
        <v>0</v>
      </c>
      <c r="AI37" s="76">
        <f t="shared" si="28"/>
        <v>0</v>
      </c>
      <c r="AJ37" s="76">
        <f t="shared" si="28"/>
        <v>0</v>
      </c>
      <c r="AK37" s="76">
        <f t="shared" si="28"/>
        <v>0</v>
      </c>
      <c r="AL37" s="76">
        <f t="shared" si="28"/>
        <v>0</v>
      </c>
      <c r="AM37" s="76">
        <f t="shared" si="28"/>
        <v>0</v>
      </c>
      <c r="AN37" s="76">
        <f t="shared" si="28"/>
        <v>0</v>
      </c>
      <c r="AO37" s="76">
        <f t="shared" si="28"/>
        <v>0</v>
      </c>
      <c r="AP37" s="76">
        <f t="shared" si="28"/>
        <v>0</v>
      </c>
      <c r="AQ37" s="76">
        <f t="shared" si="28"/>
        <v>0</v>
      </c>
      <c r="AR37" s="76">
        <f t="shared" si="28"/>
        <v>0</v>
      </c>
      <c r="AS37" s="76">
        <f t="shared" si="28"/>
        <v>0</v>
      </c>
      <c r="AT37" s="76">
        <f t="shared" si="28"/>
        <v>0</v>
      </c>
      <c r="AU37" s="76">
        <f t="shared" si="28"/>
        <v>0</v>
      </c>
      <c r="AV37" s="76">
        <f t="shared" si="28"/>
        <v>0</v>
      </c>
      <c r="AW37" s="76">
        <f t="shared" si="28"/>
        <v>0</v>
      </c>
      <c r="AX37" s="76">
        <f t="shared" si="28"/>
        <v>0</v>
      </c>
      <c r="AY37" s="76">
        <f t="shared" si="28"/>
        <v>0</v>
      </c>
      <c r="AZ37" s="76">
        <f t="shared" si="28"/>
        <v>0</v>
      </c>
      <c r="BA37" s="76">
        <f t="shared" si="28"/>
        <v>0</v>
      </c>
      <c r="BB37" s="76">
        <f t="shared" si="28"/>
        <v>0</v>
      </c>
      <c r="BC37" s="71"/>
      <c r="BD37" s="71"/>
      <c r="BE37" s="77"/>
      <c r="BF37" s="77"/>
      <c r="BG37" s="77"/>
      <c r="BH37" s="155">
        <f>SUM(BH17:BH36)</f>
        <v>0</v>
      </c>
      <c r="BI37" s="155">
        <f>SUM(BI17:BI36)</f>
        <v>0</v>
      </c>
      <c r="BJ37" s="155">
        <f>SUM(BJ17:BJ36)</f>
        <v>0</v>
      </c>
      <c r="BL37" s="79"/>
      <c r="BM37" s="79"/>
      <c r="BN37" s="79"/>
      <c r="BO37" s="79"/>
      <c r="BP37" s="79"/>
      <c r="BQ37" s="79"/>
    </row>
    <row r="38" spans="1:62" s="78" customFormat="1" ht="9.75" customHeight="1">
      <c r="A38" s="77"/>
      <c r="B38" s="77"/>
      <c r="C38" s="80"/>
      <c r="D38" s="80"/>
      <c r="E38" s="80"/>
      <c r="F38" s="80"/>
      <c r="G38" s="80"/>
      <c r="H38" s="122"/>
      <c r="I38" s="122"/>
      <c r="J38" s="133" t="str">
        <f>IF($B$7="BG","Бюджет по седмици","Budget per week")</f>
        <v>Бюджет по седмици</v>
      </c>
      <c r="K38" s="124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1"/>
      <c r="X38" s="278">
        <f>SUM(BL17:BL36)</f>
        <v>0</v>
      </c>
      <c r="Y38" s="278"/>
      <c r="Z38" s="278"/>
      <c r="AA38" s="278"/>
      <c r="AB38" s="278"/>
      <c r="AC38" s="278"/>
      <c r="AD38" s="279">
        <f>SUM(BM17:BM36)</f>
        <v>0</v>
      </c>
      <c r="AE38" s="279"/>
      <c r="AF38" s="279"/>
      <c r="AG38" s="279"/>
      <c r="AH38" s="279"/>
      <c r="AI38" s="279"/>
      <c r="AJ38" s="279"/>
      <c r="AK38" s="279">
        <f>SUM(BN17:BN36)</f>
        <v>0</v>
      </c>
      <c r="AL38" s="279"/>
      <c r="AM38" s="279"/>
      <c r="AN38" s="279"/>
      <c r="AO38" s="279"/>
      <c r="AP38" s="279"/>
      <c r="AQ38" s="279"/>
      <c r="AR38" s="278">
        <f>SUM(BO17:BO36)</f>
        <v>0</v>
      </c>
      <c r="AS38" s="278"/>
      <c r="AT38" s="278"/>
      <c r="AU38" s="278"/>
      <c r="AV38" s="278"/>
      <c r="AW38" s="278"/>
      <c r="AX38" s="278"/>
      <c r="AY38" s="280">
        <f>SUM(BP17:BP36)</f>
        <v>0</v>
      </c>
      <c r="AZ38" s="280"/>
      <c r="BA38" s="280"/>
      <c r="BB38" s="280"/>
      <c r="BC38" s="80"/>
      <c r="BD38" s="80"/>
      <c r="BE38" s="80"/>
      <c r="BF38" s="80"/>
      <c r="BG38" s="80"/>
      <c r="BH38" s="80"/>
      <c r="BI38" s="80"/>
      <c r="BJ38" s="80"/>
    </row>
    <row r="39" spans="1:62" s="78" customFormat="1" ht="9.75" customHeight="1">
      <c r="A39" s="80"/>
      <c r="B39" s="80"/>
      <c r="C39" s="80"/>
      <c r="D39" s="80"/>
      <c r="E39" s="80"/>
      <c r="F39" s="80"/>
      <c r="G39" s="80"/>
      <c r="H39" s="123"/>
      <c r="I39" s="123"/>
      <c r="J39" s="122" t="str">
        <f>IF($B$7="BG","Брой излъчвания по седмици","Number per week")</f>
        <v>Брой излъчвания по седмици</v>
      </c>
      <c r="K39" s="121"/>
      <c r="L39" s="12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1"/>
      <c r="X39" s="267">
        <f>SUM(W37:AC37)</f>
        <v>0</v>
      </c>
      <c r="Y39" s="267"/>
      <c r="Z39" s="267"/>
      <c r="AA39" s="267"/>
      <c r="AB39" s="267"/>
      <c r="AC39" s="267"/>
      <c r="AD39" s="267">
        <f>SUM(AD37:AJ37,)</f>
        <v>0</v>
      </c>
      <c r="AE39" s="267"/>
      <c r="AF39" s="267"/>
      <c r="AG39" s="267"/>
      <c r="AH39" s="267"/>
      <c r="AI39" s="267"/>
      <c r="AJ39" s="267"/>
      <c r="AK39" s="267">
        <f>SUM(AK37:AQ37)</f>
        <v>0</v>
      </c>
      <c r="AL39" s="267"/>
      <c r="AM39" s="267"/>
      <c r="AN39" s="267"/>
      <c r="AO39" s="267"/>
      <c r="AP39" s="267"/>
      <c r="AQ39" s="267"/>
      <c r="AR39" s="267">
        <f>SUM(AR37:AX37)</f>
        <v>0</v>
      </c>
      <c r="AS39" s="267"/>
      <c r="AT39" s="267"/>
      <c r="AU39" s="267"/>
      <c r="AV39" s="267"/>
      <c r="AW39" s="267"/>
      <c r="AX39" s="267"/>
      <c r="AY39" s="267">
        <f>SUM(AY37:BB37)</f>
        <v>0</v>
      </c>
      <c r="AZ39" s="267"/>
      <c r="BA39" s="267"/>
      <c r="BB39" s="267"/>
      <c r="BC39" s="80"/>
      <c r="BD39" s="80"/>
      <c r="BE39" s="80"/>
      <c r="BF39" s="80"/>
      <c r="BG39" s="80"/>
      <c r="BH39" s="80"/>
      <c r="BI39" s="80"/>
      <c r="BJ39" s="80"/>
    </row>
    <row r="40" spans="9:54" s="78" customFormat="1" ht="9.75" customHeight="1">
      <c r="I40" s="268" t="str">
        <f>IF($B$7="BG","Обща сума утежнения","Total surcharge")</f>
        <v>Обща сума утежнения</v>
      </c>
      <c r="J40" s="268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267">
        <f>BJ37</f>
        <v>0</v>
      </c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</row>
    <row r="41" spans="1:10" ht="17.25" customHeight="1">
      <c r="A41" s="263" t="str">
        <f>IF($B$7="BG","Отстъпки","Discounts")</f>
        <v>Отстъпки</v>
      </c>
      <c r="B41" s="154" t="str">
        <f>IF($B$7="BG","Брутна сума","Gross budget")</f>
        <v>Брутна сума</v>
      </c>
      <c r="H41" s="51"/>
      <c r="I41" s="51"/>
      <c r="J41" s="51"/>
    </row>
    <row r="42" spans="1:59" ht="17.25" customHeight="1">
      <c r="A42" s="264"/>
      <c r="B42" s="176">
        <f>J37</f>
        <v>0</v>
      </c>
      <c r="C42" s="271" t="str">
        <f>IF($B$7="BG","Разпределение на бюджета по канали и PT/OPT","Budget Distribution by Channel and PT/OPT")</f>
        <v>Разпределение на бюджета по канали и PT/OPT</v>
      </c>
      <c r="D42" s="272"/>
      <c r="E42" s="272"/>
      <c r="F42" s="272"/>
      <c r="G42" s="272"/>
      <c r="H42" s="272"/>
      <c r="I42" s="273"/>
      <c r="J42" s="51"/>
      <c r="K42" s="51"/>
      <c r="L42" s="51"/>
      <c r="M42" s="51"/>
      <c r="N42" s="51"/>
      <c r="O42" s="51"/>
      <c r="P42" s="51"/>
      <c r="Q42" s="51"/>
      <c r="R42" s="51"/>
      <c r="S42" s="51"/>
      <c r="BA42" s="51"/>
      <c r="BB42" s="51"/>
      <c r="BC42" s="51"/>
      <c r="BD42" s="51"/>
      <c r="BE42" s="51"/>
      <c r="BF42" s="51"/>
      <c r="BG42" s="51"/>
    </row>
    <row r="43" spans="1:59" s="214" customFormat="1" ht="14.25" customHeight="1">
      <c r="A43" s="200" t="str">
        <f>IF($B$7="BG","Отстъпки","Discounts")</f>
        <v>Отстъпки</v>
      </c>
      <c r="B43" s="212"/>
      <c r="C43" s="274"/>
      <c r="D43" s="275"/>
      <c r="E43" s="275"/>
      <c r="F43" s="275"/>
      <c r="G43" s="275"/>
      <c r="H43" s="275"/>
      <c r="I43" s="276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BA43" s="213"/>
      <c r="BB43" s="213"/>
      <c r="BC43" s="213"/>
      <c r="BD43" s="213"/>
      <c r="BE43" s="213"/>
      <c r="BF43" s="213"/>
      <c r="BG43" s="213"/>
    </row>
    <row r="44" spans="1:59" s="214" customFormat="1" ht="14.25" customHeight="1">
      <c r="A44" s="200" t="str">
        <f>IF($B$7="BG","Отстъпки","Discounts")</f>
        <v>Отстъпки</v>
      </c>
      <c r="B44" s="212"/>
      <c r="C44" s="277" t="str">
        <f>IF($B$7="BG","Канал","Channel")</f>
        <v>Канал</v>
      </c>
      <c r="D44" s="277" t="str">
        <f>IF($B$7="BG","Брутен бюджет","Gross budget")</f>
        <v>Брутен бюджет</v>
      </c>
      <c r="E44" s="277" t="str">
        <f>IF($B$7="BG","% от общия бюджет","Channel distribution %")</f>
        <v>% от общия бюджет</v>
      </c>
      <c r="F44" s="277" t="str">
        <f>IF($B$7="BG","Бюджет в ПТ","Budget in PT")</f>
        <v>Бюджет в ПТ</v>
      </c>
      <c r="G44" s="277" t="str">
        <f>IF($B$7="BG","Бюджет в ОПТ","Budget in OPT")</f>
        <v>Бюджет в ОПТ</v>
      </c>
      <c r="H44" s="277" t="s">
        <v>50</v>
      </c>
      <c r="I44" s="277" t="s">
        <v>51</v>
      </c>
      <c r="K44" s="213"/>
      <c r="L44" s="213"/>
      <c r="M44" s="213"/>
      <c r="N44" s="213"/>
      <c r="O44" s="213"/>
      <c r="P44" s="213"/>
      <c r="Q44" s="213"/>
      <c r="R44" s="213"/>
      <c r="S44" s="213"/>
      <c r="BA44" s="213"/>
      <c r="BB44" s="213"/>
      <c r="BC44" s="213"/>
      <c r="BD44" s="213"/>
      <c r="BE44" s="213"/>
      <c r="BF44" s="213"/>
      <c r="BG44" s="213"/>
    </row>
    <row r="45" spans="1:59" s="214" customFormat="1" ht="14.25" customHeight="1">
      <c r="A45" s="204" t="str">
        <f>IF($B$7="BG","Общо отстъпки","Total Discounts")</f>
        <v>Общо отстъпки</v>
      </c>
      <c r="B45" s="207">
        <f>1-(1-B43)*(1-B44)</f>
        <v>0</v>
      </c>
      <c r="C45" s="277"/>
      <c r="D45" s="277"/>
      <c r="E45" s="277"/>
      <c r="F45" s="277"/>
      <c r="G45" s="277"/>
      <c r="H45" s="277"/>
      <c r="I45" s="277"/>
      <c r="K45" s="213"/>
      <c r="L45" s="213"/>
      <c r="M45" s="213"/>
      <c r="N45" s="213"/>
      <c r="O45" s="213"/>
      <c r="P45" s="213"/>
      <c r="Q45" s="213"/>
      <c r="R45" s="213"/>
      <c r="S45" s="213"/>
      <c r="BA45" s="213"/>
      <c r="BB45" s="213"/>
      <c r="BC45" s="213"/>
      <c r="BD45" s="213"/>
      <c r="BE45" s="213"/>
      <c r="BF45" s="213"/>
      <c r="BG45" s="213"/>
    </row>
    <row r="46" spans="1:59" s="214" customFormat="1" ht="14.25" customHeight="1">
      <c r="A46" s="200" t="str">
        <f>IF($B$7="BG","Изработка на платен репортаж","Paid report Producement")</f>
        <v>Изработка на платен репортаж</v>
      </c>
      <c r="B46" s="208">
        <v>0</v>
      </c>
      <c r="C46" s="200" t="str">
        <f>IF($B$7="BG","БНТ1 фикс. цени","BNT -fixed price")</f>
        <v>БНТ1 фикс. цени</v>
      </c>
      <c r="D46" s="197">
        <f>БНТ1_fixed!B50</f>
        <v>0</v>
      </c>
      <c r="E46" s="211">
        <f>БНТ1_fixed!E54</f>
        <v>0</v>
      </c>
      <c r="F46" s="197">
        <f>БНТ1_fixed!F54</f>
        <v>0</v>
      </c>
      <c r="G46" s="197">
        <f>БНТ1_fixed!G54</f>
        <v>0</v>
      </c>
      <c r="H46" s="205">
        <f>БНТ1_fixed!H54</f>
        <v>0</v>
      </c>
      <c r="I46" s="205">
        <f>БНТ1_fixed!I54</f>
        <v>0</v>
      </c>
      <c r="K46" s="213"/>
      <c r="L46" s="213"/>
      <c r="M46" s="213"/>
      <c r="N46" s="213"/>
      <c r="O46" s="213"/>
      <c r="P46" s="213"/>
      <c r="Q46" s="213"/>
      <c r="R46" s="213"/>
      <c r="S46" s="213"/>
      <c r="BA46" s="213"/>
      <c r="BB46" s="213"/>
      <c r="BC46" s="213"/>
      <c r="BD46" s="213"/>
      <c r="BE46" s="213"/>
      <c r="BF46" s="213"/>
      <c r="BG46" s="213"/>
    </row>
    <row r="47" spans="1:59" s="214" customFormat="1" ht="14.25" customHeight="1">
      <c r="A47" s="200" t="str">
        <f>IF($B$7="BG","Утежнения","Surcharge")</f>
        <v>Утежнения</v>
      </c>
      <c r="B47" s="208">
        <f>BH37</f>
        <v>0</v>
      </c>
      <c r="C47" s="200" t="str">
        <f>IF($B$7="BG","БНТ 2 фикс. цени","BNT 2 fixed")</f>
        <v>БНТ 2 фикс. цени</v>
      </c>
      <c r="D47" s="197">
        <f>B42</f>
        <v>0</v>
      </c>
      <c r="E47" s="211">
        <f>_xlfn.IFERROR(D47/$D$50,0)</f>
        <v>0</v>
      </c>
      <c r="F47" s="197">
        <f>_xlfn.IFERROR(SUMIF($F$17:$F$36,"PT",$J$17:$W$36),0)</f>
        <v>0</v>
      </c>
      <c r="G47" s="197">
        <f>_xlfn.IFERROR(SUMIF($F$17:$F$36,"OPT",$J$17:$J$36),0)</f>
        <v>0</v>
      </c>
      <c r="H47" s="205">
        <f>_xlfn.IFERROR(F47/J37,0)</f>
        <v>0</v>
      </c>
      <c r="I47" s="205">
        <f>_xlfn.IFERROR(G47/J37,0)</f>
        <v>0</v>
      </c>
      <c r="K47" s="213"/>
      <c r="L47" s="213"/>
      <c r="M47" s="213"/>
      <c r="N47" s="213"/>
      <c r="O47" s="213"/>
      <c r="P47" s="213"/>
      <c r="Q47" s="213"/>
      <c r="R47" s="213"/>
      <c r="S47" s="213"/>
      <c r="BA47" s="213"/>
      <c r="BB47" s="213"/>
      <c r="BC47" s="213"/>
      <c r="BD47" s="213"/>
      <c r="BE47" s="213"/>
      <c r="BF47" s="213"/>
      <c r="BG47" s="213"/>
    </row>
    <row r="48" spans="1:59" s="214" customFormat="1" ht="14.25" customHeight="1">
      <c r="A48" s="200" t="str">
        <f>IF($B$7="BG","Закъснение","Delay")</f>
        <v>Закъснение</v>
      </c>
      <c r="B48" s="208">
        <f>BI38</f>
        <v>0</v>
      </c>
      <c r="C48" s="200" t="str">
        <f>IF($B$7="BG","БНТ 3 фикс. цени","BNT 3 fixed")</f>
        <v>БНТ 3 фикс. цени</v>
      </c>
      <c r="D48" s="197">
        <f>'БНТ 3_Ffixed'!B51</f>
        <v>0</v>
      </c>
      <c r="E48" s="211">
        <f>'БНТ 3_Ffixed'!E57</f>
        <v>0</v>
      </c>
      <c r="F48" s="197">
        <f>'БНТ 3_Ffixed'!F57</f>
        <v>0</v>
      </c>
      <c r="G48" s="197">
        <f>'БНТ 3_Ffixed'!G57</f>
        <v>0</v>
      </c>
      <c r="H48" s="205" t="str">
        <f>'БНТ 3_Ffixed'!H57</f>
        <v>0%</v>
      </c>
      <c r="I48" s="205" t="str">
        <f>'БНТ 3_Ffixed'!H57</f>
        <v>0%</v>
      </c>
      <c r="K48" s="213"/>
      <c r="L48" s="213"/>
      <c r="M48" s="213"/>
      <c r="N48" s="213"/>
      <c r="O48" s="213"/>
      <c r="P48" s="213"/>
      <c r="Q48" s="213"/>
      <c r="R48" s="213"/>
      <c r="S48" s="213"/>
      <c r="BA48" s="213"/>
      <c r="BB48" s="213"/>
      <c r="BC48" s="213"/>
      <c r="BD48" s="213"/>
      <c r="BE48" s="213"/>
      <c r="BF48" s="213"/>
      <c r="BG48" s="213"/>
    </row>
    <row r="49" spans="1:23" s="214" customFormat="1" ht="14.25" customHeight="1">
      <c r="A49" s="204" t="str">
        <f>IF($B$7="BG","Нетна сума без ДДС","Net budget without VAT")</f>
        <v>Нетна сума без ДДС</v>
      </c>
      <c r="B49" s="209">
        <f>(B42*(100%-B43)*(100%-B44)+B46+B48)</f>
        <v>0</v>
      </c>
      <c r="C49" s="200" t="str">
        <f>IF($B$7="BG","БНТ 4 фикс. цени","BNT 4 fixed")</f>
        <v>БНТ 4 фикс. цени</v>
      </c>
      <c r="D49" s="197">
        <f>'БНТ 4_fixed'!B55</f>
        <v>0</v>
      </c>
      <c r="E49" s="211">
        <f>'БНТ 4_fixed'!E62</f>
        <v>0</v>
      </c>
      <c r="F49" s="197">
        <f>'БНТ 4_fixed'!F62</f>
        <v>0</v>
      </c>
      <c r="G49" s="197">
        <f>'БНТ 4_fixed'!G62</f>
        <v>0</v>
      </c>
      <c r="H49" s="205">
        <f>'БНТ 4_fixed'!H62</f>
        <v>0</v>
      </c>
      <c r="I49" s="205" t="str">
        <f>'БНТ 4_fixed'!I62</f>
        <v>0%</v>
      </c>
      <c r="K49" s="213"/>
      <c r="L49" s="213"/>
      <c r="M49" s="213"/>
      <c r="N49" s="213"/>
      <c r="O49" s="213"/>
      <c r="P49" s="213"/>
      <c r="Q49" s="213"/>
      <c r="R49" s="213"/>
      <c r="S49" s="213"/>
      <c r="U49" s="213"/>
      <c r="V49" s="213"/>
      <c r="W49" s="213"/>
    </row>
    <row r="50" spans="1:23" s="214" customFormat="1" ht="14.25" customHeight="1">
      <c r="A50" s="200" t="str">
        <f>IF($B$7="BG","ДДС","VAT")</f>
        <v>ДДС</v>
      </c>
      <c r="B50" s="210">
        <v>0.2</v>
      </c>
      <c r="C50" s="215" t="str">
        <f>IF($B$7="BG","Общо","Total")</f>
        <v>Общо</v>
      </c>
      <c r="D50" s="197">
        <f>SUM(D46:D49)</f>
        <v>0</v>
      </c>
      <c r="E50" s="211">
        <f>SUM(E46:E49)</f>
        <v>0</v>
      </c>
      <c r="F50" s="197">
        <f>SUM(F46:F49)</f>
        <v>0</v>
      </c>
      <c r="G50" s="197">
        <f>SUM(G46:G49)</f>
        <v>0</v>
      </c>
      <c r="H50" s="205">
        <f>IF(E50=0,"",(F50/D50))</f>
      </c>
      <c r="I50" s="205">
        <f>IF(E50=0,"",(G50/D50))</f>
      </c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</row>
    <row r="51" spans="1:23" s="214" customFormat="1" ht="14.25" customHeight="1">
      <c r="A51" s="204" t="str">
        <f>IF($B$7="BG","Нетна сума с ДДС","Net budget with VAT")</f>
        <v>Нетна сума с ДДС</v>
      </c>
      <c r="B51" s="209">
        <f>B49+(B49*B50)</f>
        <v>0</v>
      </c>
      <c r="G51" s="213"/>
      <c r="H51" s="213"/>
      <c r="I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</row>
    <row r="52" spans="1:23" ht="12" customHeight="1">
      <c r="A52" s="36"/>
      <c r="B52" s="53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2" customHeight="1">
      <c r="A53" s="36"/>
      <c r="B53" s="53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2" customHeight="1">
      <c r="A54" s="54" t="str">
        <f>IF($B$7="BG","Приел:","Executed by:")</f>
        <v>Приел:</v>
      </c>
      <c r="B54" s="125"/>
      <c r="G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7" ht="12" customHeight="1">
      <c r="A55" s="54"/>
      <c r="B55" s="125"/>
      <c r="G55" s="51"/>
    </row>
    <row r="56" spans="1:7" ht="12" customHeight="1">
      <c r="A56" s="54"/>
      <c r="B56" s="125"/>
      <c r="G56" s="51"/>
    </row>
    <row r="57" spans="2:7" ht="12" customHeight="1">
      <c r="B57" s="125"/>
      <c r="G57" s="51"/>
    </row>
    <row r="58" spans="1:7" ht="12" customHeight="1">
      <c r="A58" s="54" t="str">
        <f>IF($B$7="BG","Светла Цветкова:","Tsvetkova Svetla:")</f>
        <v>Светла Цветкова:</v>
      </c>
      <c r="B58" s="125"/>
      <c r="G58" s="51"/>
    </row>
    <row r="59" spans="1:7" ht="12" customHeight="1">
      <c r="A59" s="54" t="str">
        <f>IF($B$7="BG","Трафик Експерт:","Traffik Expert:")</f>
        <v>Трафик Експерт:</v>
      </c>
      <c r="B59" s="125"/>
      <c r="G59" s="51"/>
    </row>
    <row r="60" spans="1:4" ht="12" customHeight="1">
      <c r="A60" s="54"/>
      <c r="B60" s="125"/>
      <c r="D60" s="54" t="str">
        <f>IF($B$7="BG","Заявил:","Requested by:")</f>
        <v>Заявил:</v>
      </c>
    </row>
    <row r="61" spans="2:3" ht="13.5" customHeight="1">
      <c r="B61" s="125"/>
      <c r="C61" s="54"/>
    </row>
    <row r="62" spans="1:3" ht="13.5" customHeight="1">
      <c r="A62" s="54" t="str">
        <f>IF($B$7="BG","Севда Димитрова:","Dimitrova Sevda:")</f>
        <v>Севда Димитрова:</v>
      </c>
      <c r="B62" s="125"/>
      <c r="C62" s="54"/>
    </row>
    <row r="63" spans="1:2" ht="13.5" customHeight="1">
      <c r="A63" s="54" t="str">
        <f>IF($B$7="BG","и. д. Директор  Маркетинг и комуникации:","CEO Marketing and Communication:")</f>
        <v>и. д. Директор  Маркетинг и комуникации:</v>
      </c>
      <c r="B63" s="125"/>
    </row>
    <row r="64" ht="13.5" customHeight="1"/>
    <row r="65" ht="13.5" customHeight="1"/>
    <row r="66" ht="13.5" customHeight="1"/>
    <row r="67" ht="13.5" customHeight="1"/>
    <row r="68" ht="13.5" customHeight="1"/>
    <row r="72" ht="13.5" customHeight="1"/>
  </sheetData>
  <sheetProtection/>
  <protectedRanges>
    <protectedRange sqref="D60 A54:B61 C61:C69 B62:B63" name="Range7"/>
    <protectedRange sqref="A11" name="Range1"/>
    <protectedRange sqref="A12" name="Range1_1"/>
    <protectedRange sqref="A13" name="Range1_2"/>
    <protectedRange sqref="A14" name="Range1_3"/>
    <protectedRange sqref="A15" name="Range1_5"/>
    <protectedRange sqref="A62" name="Range7_2"/>
    <protectedRange sqref="A63" name="Range7_1_1"/>
  </protectedRanges>
  <autoFilter ref="A16:BJ16"/>
  <mergeCells count="51">
    <mergeCell ref="C14:D14"/>
    <mergeCell ref="C8:D8"/>
    <mergeCell ref="C9:D9"/>
    <mergeCell ref="C10:D10"/>
    <mergeCell ref="C11:D11"/>
    <mergeCell ref="C12:D12"/>
    <mergeCell ref="C13:D13"/>
    <mergeCell ref="X38:AC38"/>
    <mergeCell ref="AD38:AJ38"/>
    <mergeCell ref="AK38:AQ38"/>
    <mergeCell ref="AR38:AX38"/>
    <mergeCell ref="AY38:BB38"/>
    <mergeCell ref="X39:AC39"/>
    <mergeCell ref="AD39:AJ39"/>
    <mergeCell ref="AK39:AQ39"/>
    <mergeCell ref="AR39:AX39"/>
    <mergeCell ref="AY39:BB39"/>
    <mergeCell ref="C42:I43"/>
    <mergeCell ref="I44:I45"/>
    <mergeCell ref="C44:C45"/>
    <mergeCell ref="D44:D45"/>
    <mergeCell ref="E44:E45"/>
    <mergeCell ref="F44:F45"/>
    <mergeCell ref="G44:G45"/>
    <mergeCell ref="H44:H45"/>
    <mergeCell ref="I40:J40"/>
    <mergeCell ref="H9:I9"/>
    <mergeCell ref="H10:I10"/>
    <mergeCell ref="H11:I11"/>
    <mergeCell ref="H12:I12"/>
    <mergeCell ref="H13:I13"/>
    <mergeCell ref="H14:I14"/>
    <mergeCell ref="X15:BB15"/>
    <mergeCell ref="A2:Z6"/>
    <mergeCell ref="X8:Z8"/>
    <mergeCell ref="X9:Z9"/>
    <mergeCell ref="X10:Z10"/>
    <mergeCell ref="A41:A42"/>
    <mergeCell ref="E14:F14"/>
    <mergeCell ref="E13:F13"/>
    <mergeCell ref="E12:F12"/>
    <mergeCell ref="X40:BB40"/>
    <mergeCell ref="X11:Z11"/>
    <mergeCell ref="X13:Z13"/>
    <mergeCell ref="X14:Z14"/>
    <mergeCell ref="E8:F8"/>
    <mergeCell ref="E9:F9"/>
    <mergeCell ref="E10:F10"/>
    <mergeCell ref="E11:F11"/>
    <mergeCell ref="X12:Z12"/>
    <mergeCell ref="H8:I8"/>
  </mergeCells>
  <conditionalFormatting sqref="A2 C61:C62 D60">
    <cfRule type="cellIs" priority="50" dxfId="0" operator="equal" stopIfTrue="1">
      <formula>0</formula>
    </cfRule>
  </conditionalFormatting>
  <conditionalFormatting sqref="A54:A56 A58:A61">
    <cfRule type="cellIs" priority="33" dxfId="0" operator="equal" stopIfTrue="1">
      <formula>0</formula>
    </cfRule>
  </conditionalFormatting>
  <conditionalFormatting sqref="X17:BB36">
    <cfRule type="cellIs" priority="5" dxfId="7" operator="equal" stopIfTrue="1">
      <formula>"F"</formula>
    </cfRule>
    <cfRule type="cellIs" priority="14" dxfId="37" operator="equal" stopIfTrue="1">
      <formula>"F"</formula>
    </cfRule>
    <cfRule type="cellIs" priority="15" dxfId="6" operator="equal" stopIfTrue="1">
      <formula>"E"</formula>
    </cfRule>
    <cfRule type="cellIs" priority="16" dxfId="5" operator="equal" stopIfTrue="1">
      <formula>"D"</formula>
    </cfRule>
    <cfRule type="cellIs" priority="17" dxfId="3" operator="equal" stopIfTrue="1">
      <formula>"B"</formula>
    </cfRule>
    <cfRule type="cellIs" priority="18" dxfId="4" operator="equal" stopIfTrue="1">
      <formula>"C"</formula>
    </cfRule>
    <cfRule type="cellIs" priority="19" dxfId="4" operator="equal" stopIfTrue="1">
      <formula>"B"</formula>
    </cfRule>
    <cfRule type="cellIs" priority="20" dxfId="2" operator="equal" stopIfTrue="1">
      <formula>"A"</formula>
    </cfRule>
  </conditionalFormatting>
  <conditionalFormatting sqref="E9:F9">
    <cfRule type="cellIs" priority="13" dxfId="2" operator="equal" stopIfTrue="1">
      <formula>"A"</formula>
    </cfRule>
  </conditionalFormatting>
  <conditionalFormatting sqref="E10:F10">
    <cfRule type="cellIs" priority="12" dxfId="3" operator="equal" stopIfTrue="1">
      <formula>"B"</formula>
    </cfRule>
  </conditionalFormatting>
  <conditionalFormatting sqref="E11:F11">
    <cfRule type="cellIs" priority="11" dxfId="4" operator="equal" stopIfTrue="1">
      <formula>"C"</formula>
    </cfRule>
  </conditionalFormatting>
  <conditionalFormatting sqref="E12:F12">
    <cfRule type="cellIs" priority="10" dxfId="5" operator="equal" stopIfTrue="1">
      <formula>"D"</formula>
    </cfRule>
  </conditionalFormatting>
  <conditionalFormatting sqref="E13:F13">
    <cfRule type="cellIs" priority="9" dxfId="6" operator="equal" stopIfTrue="1">
      <formula>"E"</formula>
    </cfRule>
  </conditionalFormatting>
  <conditionalFormatting sqref="E14:F14">
    <cfRule type="cellIs" priority="6" dxfId="7" operator="equal" stopIfTrue="1">
      <formula>"F"</formula>
    </cfRule>
    <cfRule type="cellIs" priority="7" dxfId="37" operator="equal" stopIfTrue="1">
      <formula>"F"</formula>
    </cfRule>
    <cfRule type="cellIs" priority="8" dxfId="7" operator="equal" stopIfTrue="1">
      <formula>"F"</formula>
    </cfRule>
  </conditionalFormatting>
  <conditionalFormatting sqref="A62">
    <cfRule type="cellIs" priority="3" dxfId="0" operator="equal" stopIfTrue="1">
      <formula>0</formula>
    </cfRule>
  </conditionalFormatting>
  <conditionalFormatting sqref="A63">
    <cfRule type="cellIs" priority="1" dxfId="0" operator="equal" stopIfTrue="1">
      <formula>0</formula>
    </cfRule>
  </conditionalFormatting>
  <dataValidations count="12">
    <dataValidation type="list" allowBlank="1" showInputMessage="1" showErrorMessage="1" sqref="X9:X14">
      <formula1>"Да,"</formula1>
    </dataValidation>
    <dataValidation type="list" allowBlank="1" showInputMessage="1" showErrorMessage="1" sqref="G17:G36">
      <formula1>reklama9</formula1>
    </dataValidation>
    <dataValidation showInputMessage="1" showErrorMessage="1" sqref="BI17:BJ36"/>
    <dataValidation type="list" showInputMessage="1" showErrorMessage="1" sqref="BD17:BE36">
      <formula1>percent1</formula1>
    </dataValidation>
    <dataValidation type="list" allowBlank="1" showInputMessage="1" showErrorMessage="1" sqref="D17:D36">
      <formula1>time100</formula1>
    </dataValidation>
    <dataValidation type="list" allowBlank="1" showInputMessage="1" showErrorMessage="1" sqref="C17:C36">
      <formula1>"mon-sun"</formula1>
    </dataValidation>
    <dataValidation type="list" showDropDown="1" showInputMessage="1" showErrorMessage="1" sqref="X17:BB36">
      <formula1>Codes2</formula1>
    </dataValidation>
    <dataValidation type="list" showInputMessage="1" showErrorMessage="1" sqref="BC17:BC36">
      <formula1>Positions2</formula1>
    </dataValidation>
    <dataValidation type="list" allowBlank="1" showInputMessage="1" showErrorMessage="1" sqref="G37">
      <formula1>Reklama</formula1>
    </dataValidation>
    <dataValidation type="list" allowBlank="1" showInputMessage="1" showErrorMessage="1" sqref="G9:G14">
      <formula1>duration3</formula1>
    </dataValidation>
    <dataValidation allowBlank="1" showInputMessage="1" showErrorMessage="1" sqref="B44"/>
    <dataValidation type="list" allowBlank="1" showInputMessage="1" showErrorMessage="1" sqref="B7:B8">
      <formula1>$AE$8:$AE$9</formula1>
    </dataValidation>
  </dataValidations>
  <printOptions/>
  <pageMargins left="0" right="0" top="0.5511811023622047" bottom="0.11811023622047245" header="0.5118110236220472" footer="0.11811023622047245"/>
  <pageSetup fitToHeight="0" fitToWidth="1" horizontalDpi="600" verticalDpi="600" orientation="landscape" paperSize="9" scale="39" r:id="rId4"/>
  <ignoredErrors>
    <ignoredError sqref="E17:E36 F17:F36 H17:H36 J17:J36 BI17:BI36" emptyCellReference="1"/>
    <ignoredError sqref="K37:M37 O37:W37 B45:B47 B49:B51 B41:B42 H37:I37 J9:J14 E8 G8:H8 J38:J39 A64:B65 A45:A51 A57:B59 A61:B61 A54:B54 K18:V36 H9:I14 D60 I40 A9:A15 J8:X8 A16:J16 BC16:BJ16 D50:G50 C44:I45 D46:I49 C50 C42 BQ18:BQ36 X38:X39 X40 Y40:BB40 B62:B63 C63:C65 C67:C71 K17:V17 W17:W36 C46:C49 BQ17 BL17:BP36 AZ38:BB38 AS38:AX38 AL38:AQ38 AZ39:BB39 AS39:AX39 AL39:AQ39 AE39:AJ39 AE38:AJ38 AD39 AD38 AK38 AK39 AR39 AY39 AR38 AY38 BH37:BJ37 A62:A63 A41:A44 C8" unlockedFormula="1"/>
    <ignoredError sqref="E10:F14 J37 N37 B48 X37:AZ37 BA37:BB37" emptyCellReference="1" unlockedFormula="1"/>
    <ignoredError sqref="X37:AZ37 BA37:BB37" emptyCellReference="1" formulaRang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89FFC"/>
    <pageSetUpPr fitToPage="1"/>
  </sheetPr>
  <dimension ref="A2:GH72"/>
  <sheetViews>
    <sheetView showGridLines="0" zoomScale="85" zoomScaleNormal="85" zoomScaleSheetLayoutView="85" workbookViewId="0" topLeftCell="A1">
      <selection activeCell="C13" sqref="C13"/>
    </sheetView>
  </sheetViews>
  <sheetFormatPr defaultColWidth="9.140625" defaultRowHeight="12.75"/>
  <cols>
    <col min="1" max="1" width="36.28125" style="31" customWidth="1"/>
    <col min="2" max="2" width="26.57421875" style="31" customWidth="1"/>
    <col min="3" max="3" width="18.140625" style="31" customWidth="1"/>
    <col min="4" max="4" width="16.140625" style="31" customWidth="1"/>
    <col min="5" max="5" width="13.140625" style="31" customWidth="1"/>
    <col min="6" max="6" width="14.140625" style="31" customWidth="1"/>
    <col min="7" max="7" width="15.8515625" style="31" customWidth="1"/>
    <col min="8" max="8" width="9.421875" style="31" customWidth="1"/>
    <col min="9" max="9" width="7.28125" style="31" customWidth="1"/>
    <col min="10" max="10" width="11.8515625" style="31" customWidth="1"/>
    <col min="11" max="23" width="7.00390625" style="31" hidden="1" customWidth="1"/>
    <col min="24" max="53" width="3.8515625" style="31" customWidth="1"/>
    <col min="54" max="54" width="4.00390625" style="31" customWidth="1"/>
    <col min="55" max="55" width="11.57421875" style="31" customWidth="1"/>
    <col min="56" max="56" width="11.421875" style="31" customWidth="1"/>
    <col min="57" max="57" width="9.28125" style="31" customWidth="1"/>
    <col min="58" max="59" width="12.7109375" style="31" customWidth="1"/>
    <col min="60" max="60" width="13.00390625" style="31" customWidth="1"/>
    <col min="61" max="61" width="11.421875" style="31" customWidth="1"/>
    <col min="62" max="62" width="11.28125" style="31" customWidth="1"/>
    <col min="63" max="63" width="9.140625" style="31" hidden="1" customWidth="1"/>
    <col min="64" max="64" width="9.28125" style="31" hidden="1" customWidth="1"/>
    <col min="65" max="65" width="9.140625" style="31" hidden="1" customWidth="1"/>
    <col min="66" max="66" width="9.28125" style="31" hidden="1" customWidth="1"/>
    <col min="67" max="70" width="9.140625" style="31" hidden="1" customWidth="1"/>
    <col min="71" max="86" width="9.140625" style="31" customWidth="1"/>
    <col min="87" max="16384" width="9.140625" style="31" customWidth="1"/>
  </cols>
  <sheetData>
    <row r="1" ht="9.75" customHeight="1"/>
    <row r="2" spans="1:26" ht="12.75" customHeight="1">
      <c r="A2" s="234" t="str">
        <f>IF($B$5="BG","месец ЯНУАРИ","JANUARY")</f>
        <v>месец ЯНУАРИ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ht="21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</row>
    <row r="4" spans="1:30" ht="39" customHeight="1">
      <c r="A4" s="287"/>
      <c r="B4" s="28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D4"/>
    </row>
    <row r="5" spans="1:26" ht="17.25" customHeight="1">
      <c r="A5" s="157" t="s">
        <v>71</v>
      </c>
      <c r="B5" s="158" t="s">
        <v>73</v>
      </c>
      <c r="C5" s="132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31" ht="25.5" customHeight="1">
      <c r="A6" s="158"/>
      <c r="B6" s="158"/>
      <c r="C6" s="289" t="str">
        <f>IF($B$5="BG","Име на клип","Name ot spot")</f>
        <v>Име на клип</v>
      </c>
      <c r="D6" s="290"/>
      <c r="E6" s="289" t="str">
        <f>IF($B$5="BG","Код","Code")</f>
        <v>Код</v>
      </c>
      <c r="F6" s="290"/>
      <c r="G6" s="158" t="str">
        <f>IF($B$5="BG","Секунди","Secоnds")</f>
        <v>Секунди</v>
      </c>
      <c r="H6" s="289" t="str">
        <f>IF($B$5="BG","Коефициент
30 сек.","Coefficient
to 30 sec.")</f>
        <v>Коефициент
30 сек.</v>
      </c>
      <c r="I6" s="290"/>
      <c r="J6" s="158" t="str">
        <f>IF($B$5="BG","Брой","Count")</f>
        <v>Брой</v>
      </c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289" t="str">
        <f>IF($B$5="BG","Бонус/
Компенс.","Bonus/
Compens.")</f>
        <v>Бонус/
Компенс.</v>
      </c>
      <c r="Y6" s="292"/>
      <c r="Z6" s="290"/>
      <c r="AE6" s="120" t="s">
        <v>73</v>
      </c>
    </row>
    <row r="7" spans="1:31" ht="12" customHeight="1">
      <c r="A7" s="34" t="str">
        <f>IF($B$5="BG","Агенция","Agency")</f>
        <v>Агенция</v>
      </c>
      <c r="B7" s="32"/>
      <c r="C7" s="344"/>
      <c r="D7" s="345"/>
      <c r="E7" s="291" t="s">
        <v>64</v>
      </c>
      <c r="F7" s="291"/>
      <c r="G7" s="35"/>
      <c r="H7" s="269">
        <f>IF(G7="",0,VLOOKUP(G7,data!$B$17:$C$102,2,FALSE))</f>
        <v>0</v>
      </c>
      <c r="I7" s="270"/>
      <c r="J7" s="35" t="b">
        <f aca="true" t="shared" si="0" ref="J7:J12">IF(G7&gt;0,(COUNTIF($X$16:$BB$45,E7)))</f>
        <v>0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253"/>
      <c r="Y7" s="254"/>
      <c r="Z7" s="255"/>
      <c r="AE7" s="120" t="s">
        <v>72</v>
      </c>
    </row>
    <row r="8" spans="1:26" ht="12" customHeight="1">
      <c r="A8" s="34" t="str">
        <f>IF($B$5="BG","Лице за контакт","Contact person")</f>
        <v>Лице за контакт</v>
      </c>
      <c r="B8" s="32"/>
      <c r="C8" s="344"/>
      <c r="D8" s="345"/>
      <c r="E8" s="291" t="str">
        <f>IF(G8&lt;&gt;"","B","-")</f>
        <v>-</v>
      </c>
      <c r="F8" s="291"/>
      <c r="G8" s="35"/>
      <c r="H8" s="269">
        <f>IF(G8="",0,VLOOKUP(G8,data!$B$17:$C$102,2,FALSE))</f>
        <v>0</v>
      </c>
      <c r="I8" s="270"/>
      <c r="J8" s="35" t="b">
        <f t="shared" si="0"/>
        <v>0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253"/>
      <c r="Y8" s="254"/>
      <c r="Z8" s="255"/>
    </row>
    <row r="9" spans="1:26" ht="12" customHeight="1">
      <c r="A9" s="34" t="str">
        <f>IF($B$5="BG","Входящ №","Reference №")</f>
        <v>Входящ №</v>
      </c>
      <c r="B9" s="32"/>
      <c r="C9" s="344"/>
      <c r="D9" s="345"/>
      <c r="E9" s="291" t="str">
        <f>IF(G9&lt;&gt;"","C","-")</f>
        <v>-</v>
      </c>
      <c r="F9" s="291"/>
      <c r="G9" s="35"/>
      <c r="H9" s="269">
        <f>IF(G9="",0,VLOOKUP(G9,data!$B$17:$C$102,2,FALSE))</f>
        <v>0</v>
      </c>
      <c r="I9" s="270"/>
      <c r="J9" s="35" t="b">
        <f t="shared" si="0"/>
        <v>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253"/>
      <c r="Y9" s="254"/>
      <c r="Z9" s="255"/>
    </row>
    <row r="10" spans="1:26" ht="12" customHeight="1">
      <c r="A10" s="34" t="str">
        <f>IF($B$5="BG","Кампания","Campaign")</f>
        <v>Кампания</v>
      </c>
      <c r="B10" s="32"/>
      <c r="C10" s="344"/>
      <c r="D10" s="345"/>
      <c r="E10" s="288" t="str">
        <f>IF(G10&lt;&gt;"","D","-")</f>
        <v>-</v>
      </c>
      <c r="F10" s="288"/>
      <c r="G10" s="35"/>
      <c r="H10" s="269">
        <f>IF(G10="",0,VLOOKUP(G10,data!$B$17:$C$102,2,FALSE))</f>
        <v>0</v>
      </c>
      <c r="I10" s="270"/>
      <c r="J10" s="35" t="b">
        <f t="shared" si="0"/>
        <v>0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253"/>
      <c r="Y10" s="254"/>
      <c r="Z10" s="255"/>
    </row>
    <row r="11" spans="1:26" ht="12" customHeight="1">
      <c r="A11" s="34" t="str">
        <f>IF($B$5="BG","Клиент","Client")</f>
        <v>Клиент</v>
      </c>
      <c r="B11" s="32"/>
      <c r="C11" s="344"/>
      <c r="D11" s="345"/>
      <c r="E11" s="288" t="str">
        <f>IF(G11&lt;&gt;"","E","-")</f>
        <v>-</v>
      </c>
      <c r="F11" s="288"/>
      <c r="G11" s="35"/>
      <c r="H11" s="269">
        <f>IF(G11="",0,VLOOKUP(G11,data!$B$17:$C$102,2,FALSE))</f>
        <v>0</v>
      </c>
      <c r="I11" s="270"/>
      <c r="J11" s="35" t="b">
        <f t="shared" si="0"/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253"/>
      <c r="Y11" s="254"/>
      <c r="Z11" s="255"/>
    </row>
    <row r="12" spans="1:26" ht="12" customHeight="1">
      <c r="A12" s="34" t="str">
        <f>IF($B$5="BG","Период","Period")</f>
        <v>Период</v>
      </c>
      <c r="B12" s="32"/>
      <c r="C12" s="344"/>
      <c r="D12" s="345"/>
      <c r="E12" s="288" t="str">
        <f>IF(G12&lt;&gt;"","F","-")</f>
        <v>-</v>
      </c>
      <c r="F12" s="288"/>
      <c r="G12" s="35"/>
      <c r="H12" s="269">
        <f>IF(G12="",0,VLOOKUP(G12,data!$B$17:$C$102,2,FALSE))</f>
        <v>0</v>
      </c>
      <c r="I12" s="270"/>
      <c r="J12" s="35" t="b">
        <f t="shared" si="0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253"/>
      <c r="Y12" s="254"/>
      <c r="Z12" s="255"/>
    </row>
    <row r="13" spans="1:59" ht="12" customHeight="1">
      <c r="A13" s="34" t="str">
        <f>IF($B$5="BG","По договор","Contract №")</f>
        <v>По договор</v>
      </c>
      <c r="B13" s="32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281" t="str">
        <f>IF($B$5="BG","Януари 2019","December 2019")</f>
        <v>Януари 2019</v>
      </c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  <c r="BC13" s="36"/>
      <c r="BD13" s="36"/>
      <c r="BE13" s="36"/>
      <c r="BF13" s="36"/>
      <c r="BG13" s="36"/>
    </row>
    <row r="14" spans="1:59" ht="12" customHeight="1">
      <c r="A14" s="34" t="str">
        <f>IF($B$5="BG","Решение УС","Bord decision №")</f>
        <v>Решение УС</v>
      </c>
      <c r="B14" s="32"/>
      <c r="C14" s="36"/>
      <c r="D14" s="36"/>
      <c r="E14" s="36"/>
      <c r="F14" s="36"/>
      <c r="X14" s="284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6"/>
      <c r="BC14" s="36"/>
      <c r="BD14" s="36"/>
      <c r="BE14" s="36"/>
      <c r="BF14" s="36"/>
      <c r="BG14" s="36"/>
    </row>
    <row r="15" spans="1:69" ht="48" customHeight="1">
      <c r="A15" s="158" t="str">
        <f>IF($B$5="BG","Бележки","Notice")</f>
        <v>Бележки</v>
      </c>
      <c r="B15" s="158" t="str">
        <f>IF($B$5="BG","Програма","Program")</f>
        <v>Програма</v>
      </c>
      <c r="C15" s="158" t="str">
        <f>IF($B$5="BG","Ден","Day")</f>
        <v>Ден</v>
      </c>
      <c r="D15" s="158" t="str">
        <f>IF($B$5="BG","Час","Time")</f>
        <v>Час</v>
      </c>
      <c r="E15" s="158" t="str">
        <f>IF($B$5="BG","Ключ","Key")</f>
        <v>Ключ</v>
      </c>
      <c r="F15" s="158" t="str">
        <f>IF($B$5="BG","Часова зона","Day part")</f>
        <v>Часова зона</v>
      </c>
      <c r="G15" s="158" t="str">
        <f>IF($B$5="BG","Рекламна форма","TVC Type")</f>
        <v>Рекламна форма</v>
      </c>
      <c r="H15" s="158" t="str">
        <f>IF($B$5="BG","Цена за клип 30 сек.","30 sec Price")</f>
        <v>Цена за клип 30 сек.</v>
      </c>
      <c r="I15" s="158" t="str">
        <f>IF($B$5="BG","Брой","Count")</f>
        <v>Брой</v>
      </c>
      <c r="J15" s="158" t="str">
        <f>IF($B$5="BG","Общо цена","Total")</f>
        <v>Общо цена</v>
      </c>
      <c r="K15" s="158" t="s">
        <v>18</v>
      </c>
      <c r="L15" s="158" t="s">
        <v>19</v>
      </c>
      <c r="M15" s="158" t="s">
        <v>20</v>
      </c>
      <c r="N15" s="158" t="s">
        <v>25</v>
      </c>
      <c r="O15" s="158" t="s">
        <v>21</v>
      </c>
      <c r="P15" s="158" t="s">
        <v>26</v>
      </c>
      <c r="Q15" s="158" t="s">
        <v>22</v>
      </c>
      <c r="R15" s="158" t="s">
        <v>27</v>
      </c>
      <c r="S15" s="158" t="s">
        <v>23</v>
      </c>
      <c r="T15" s="158" t="s">
        <v>28</v>
      </c>
      <c r="U15" s="158" t="s">
        <v>24</v>
      </c>
      <c r="V15" s="158" t="s">
        <v>29</v>
      </c>
      <c r="W15" s="158" t="s">
        <v>30</v>
      </c>
      <c r="X15" s="172">
        <v>1</v>
      </c>
      <c r="Y15" s="172">
        <v>2</v>
      </c>
      <c r="Z15" s="172">
        <v>3</v>
      </c>
      <c r="AA15" s="172">
        <v>4</v>
      </c>
      <c r="AB15" s="37">
        <v>5</v>
      </c>
      <c r="AC15" s="37">
        <v>6</v>
      </c>
      <c r="AD15" s="172">
        <v>7</v>
      </c>
      <c r="AE15" s="172">
        <v>8</v>
      </c>
      <c r="AF15" s="172">
        <v>9</v>
      </c>
      <c r="AG15" s="172">
        <v>10</v>
      </c>
      <c r="AH15" s="172">
        <v>11</v>
      </c>
      <c r="AI15" s="37">
        <v>12</v>
      </c>
      <c r="AJ15" s="37">
        <v>13</v>
      </c>
      <c r="AK15" s="172">
        <v>14</v>
      </c>
      <c r="AL15" s="172">
        <v>15</v>
      </c>
      <c r="AM15" s="172">
        <v>16</v>
      </c>
      <c r="AN15" s="172">
        <v>17</v>
      </c>
      <c r="AO15" s="172">
        <v>18</v>
      </c>
      <c r="AP15" s="37">
        <v>19</v>
      </c>
      <c r="AQ15" s="37">
        <v>20</v>
      </c>
      <c r="AR15" s="172">
        <v>21</v>
      </c>
      <c r="AS15" s="172">
        <v>22</v>
      </c>
      <c r="AT15" s="172">
        <v>23</v>
      </c>
      <c r="AU15" s="172">
        <v>24</v>
      </c>
      <c r="AV15" s="172">
        <v>25</v>
      </c>
      <c r="AW15" s="37">
        <v>26</v>
      </c>
      <c r="AX15" s="37">
        <v>27</v>
      </c>
      <c r="AY15" s="172">
        <v>28</v>
      </c>
      <c r="AZ15" s="172">
        <v>29</v>
      </c>
      <c r="BA15" s="172">
        <v>30</v>
      </c>
      <c r="BB15" s="172">
        <v>31</v>
      </c>
      <c r="BC15" s="159" t="str">
        <f>IF($B$5="BG","Утежнение за позиция в блок/две реклами в блок","Surcharge in the block/two ad unit")</f>
        <v>Утежнение за позиция в блок/две реклами в блок</v>
      </c>
      <c r="BD15" s="159" t="str">
        <f>IF($B$5="BG","Утежнение за съвместна реклама","Co-Ad surcharge")</f>
        <v>Утежнение за съвместна реклама</v>
      </c>
      <c r="BE15" s="159" t="str">
        <f>IF($B$5="BG","Закъснение","Delay")</f>
        <v>Закъснение</v>
      </c>
      <c r="BF15" s="159" t="str">
        <f>IF($B$5="BG","Цена за клип/СЗ/ПР без утежнения","Price for spot/ST/PR without surcharge")</f>
        <v>Цена за клип/СЗ/ПР без утежнения</v>
      </c>
      <c r="BG15" s="159" t="str">
        <f>IF($B$5="BG","Цена с утежнения за позиция и марка","Price with surcharge for Position and Brand")</f>
        <v>Цена с утежнения за позиция и марка</v>
      </c>
      <c r="BH15" s="159" t="str">
        <f>IF($B$5="BG","Утежнения за позиция и марка","Price surcharge for Position and Brand")</f>
        <v>Утежнения за позиция и марка</v>
      </c>
      <c r="BI15" s="159" t="str">
        <f>IF($B$5="BG","Утежнения закъснение","Surcharge for Delay")</f>
        <v>Утежнения закъснение</v>
      </c>
      <c r="BJ15" s="159" t="str">
        <f>IF($B$5="BG","Общо утежнение","Total Surcharge")</f>
        <v>Общо утежнение</v>
      </c>
      <c r="BL15" s="31" t="s">
        <v>0</v>
      </c>
      <c r="BM15" s="31" t="s">
        <v>1</v>
      </c>
      <c r="BN15" s="31" t="s">
        <v>2</v>
      </c>
      <c r="BO15" s="31" t="s">
        <v>3</v>
      </c>
      <c r="BP15" s="31" t="s">
        <v>4</v>
      </c>
      <c r="BQ15" s="31" t="s">
        <v>5</v>
      </c>
    </row>
    <row r="16" spans="1:69" ht="12.75" customHeight="1">
      <c r="A16" s="38"/>
      <c r="B16" s="39"/>
      <c r="C16" s="40"/>
      <c r="D16" s="41"/>
      <c r="E16" s="42">
        <f>IF(D16="","",ABS(LEFT(D16,2)))</f>
      </c>
      <c r="F16" s="42">
        <f>IF(D16="","",IF((E16&gt;=19)*(E16&lt;22),"PT","OPT"))</f>
      </c>
      <c r="G16" s="136"/>
      <c r="H16" s="43">
        <f>IF($C$7="",SUMIF(time100,D16,data!$K$16:$K$21),SUMIF(packs,$C$7,data!$K$10:$K$12))</f>
        <v>0</v>
      </c>
      <c r="I16" s="91">
        <f>COUNTA(X16:BB16)</f>
        <v>0</v>
      </c>
      <c r="J16" s="43">
        <f aca="true" t="shared" si="1" ref="J16:J45">IF(D16="",0,(K16*L16+M16*N16+O16*P16+Q16*R16+S16*T16+U16*V16)*W16)</f>
        <v>0</v>
      </c>
      <c r="K16" s="33" t="b">
        <f>IF($X$7="Да/Yes",0,IF(G16="Spons tag",H16/2,IF(G16="Spot",$H$7*H16,IF(G16="Paid report",H16*$G$7*1*2/60,IF(AND(G16="Cut-in",$G$7&lt;=10),H16*0.7,IF(G16="Break ID with VO 7+7",H16*1.2,IF(AND(G16="Spons promo",$G$7&lt;=10),H16/2,IF(G16="Break ID 7+7",H16))))))))</f>
        <v>0</v>
      </c>
      <c r="L16" s="34">
        <f>COUNTIF(X16:BB16,$E$7)</f>
        <v>0</v>
      </c>
      <c r="M16" s="33" t="b">
        <f>IF($X$8="Да/Yes",0,IF(G16="Spons tag",H16/2,IF(G16="Spot",$H$8*H16,IF(G16="Paid report",H16*$G$8*1*2/60,IF(AND(G16="Cut-in",$G$8&lt;=10),H16*0.7,IF(G16="Break ID with VO 7+7",H16*1.2,IF(AND(G16="Spons promo",$G$8&lt;=10),H16/2,IF(G16="Break ID 7+7",H16))))))))</f>
        <v>0</v>
      </c>
      <c r="N16" s="34">
        <f>COUNTIF(X16:BB16,$E$8)</f>
        <v>0</v>
      </c>
      <c r="O16" s="33" t="b">
        <f>IF($X$9="Да/Yes",0,IF(G16="Spons tag",H16/2,IF(G16="Spot",$H$9*H16,IF(G16="Paid report",H16*$G$9*1*2/60,IF(AND(G16="Cut-in",$G$9&lt;=10),H16*0.7,IF(G16="Break ID with VO 7+7",H16*1.2,IF(AND(G16="Spons promo",$G$9&lt;=10),H16/2,IF(G16="Break ID 7+7",H16))))))))</f>
        <v>0</v>
      </c>
      <c r="P16" s="34">
        <f>COUNTIF(X16:BB16,$E$9)</f>
        <v>0</v>
      </c>
      <c r="Q16" s="33" t="b">
        <f>IF($X$10="Да/Yes",0,IF(G16="Spons tag",H16/2,IF(G16="Spot",$H$10*H16,IF(G16="Paid report",H16*$G$10*1*2/60,IF(AND(G16="Cut-in",$G$10&lt;=10),H16*0.7,IF(G16="Break ID with VO 7+7",H16*1.2,IF(AND(G16="Spons promo",$G$10&lt;=10),H16/2,IF(G16="Break ID 7+7",H16))))))))</f>
        <v>0</v>
      </c>
      <c r="R16" s="34">
        <f>COUNTIF(X16:BB16,$E$10)</f>
        <v>0</v>
      </c>
      <c r="S16" s="33" t="b">
        <f>IF($X$11="Да/Yes",0,IF(G16="Spons tag",H16/2,IF(G16="Spot",$H$11*H16,IF(G16="Paid report",H16*$G$11*1*2/60,IF(AND(G16="Cut-in",$G$11&lt;=10),H16*0.7,IF(G16="Break ID with VO 7+7",H16*1.2,IF(AND(G16="Spons promo",$G$11&lt;=10),H16/2,IF(G16="Break ID 7+7",H16))))))))</f>
        <v>0</v>
      </c>
      <c r="T16" s="34">
        <f>COUNTIF(X16:BB16,$E$11)</f>
        <v>0</v>
      </c>
      <c r="U16" s="33" t="b">
        <f>IF($X$12="Да/Yes",0,IF(G16="Spons tag",H16/2,IF(G16="Spot",$H$12*H16,IF(G16="Paid report",H16*$G$12*1*2/60,IF(AND(G16="Cut-in",$G$12&lt;=10),H16*0.7,IF(G16="Break ID with VO 7+7",H16*1.2,IF(AND(G16="Spons promo",$G$12&lt;=10),H16/2,IF(G16="Break ID 7+7",H16))))))))</f>
        <v>0</v>
      </c>
      <c r="V16" s="34">
        <f>COUNTIF(X16:BB16,$E$12)</f>
        <v>0</v>
      </c>
      <c r="W16" s="35">
        <f>IF(BC16="",1,VLOOKUP(BC16,data!$C$3:$D$10,2,FALSE))*(1+BD16)</f>
        <v>1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38"/>
      <c r="BD16" s="44"/>
      <c r="BE16" s="44"/>
      <c r="BF16" s="43">
        <f>IF(I16=0,0,(K16*L16+M16*N16+O16*P16+Q16*R16+S16*T16+U16*V16)/I16)</f>
        <v>0</v>
      </c>
      <c r="BG16" s="43">
        <f>IF(I16=0,0,J16/I16)</f>
        <v>0</v>
      </c>
      <c r="BH16" s="43">
        <f>IF((BG16-BF16)&gt;0,(BG16-BF16)*I16,0)</f>
        <v>0</v>
      </c>
      <c r="BI16" s="43">
        <f>BE16*BG16</f>
        <v>0</v>
      </c>
      <c r="BJ16" s="43">
        <f>BH16+BI16</f>
        <v>0</v>
      </c>
      <c r="BL16" s="45">
        <f>((COUNTIF(X16:AC16,"A")*K16)+(COUNTIF(X16:AC16,"B")*M16)+(COUNTIF(X16:AC16,"C")*O16)+(COUNTIF(V16:AC16,"D")*Q16)+(COUNTIF(W16:AC16,"E")*S16)+(COUNTIF(X16:AC16,"F")*U16))*W16</f>
        <v>0</v>
      </c>
      <c r="BM16" s="45">
        <f>((COUNTIF(AD16:AJ16,"A")*K16)+(COUNTIF(AD16:AJ16,"B")*M16)+(COUNTIF(AD16:AJ16,"C")*O16)+(COUNTIF(AD16:AJ16,"D")*Q16)+(COUNTIF(AD16:AJ16,"E")*S16)+(COUNTIF(AD16:AJ16,"F")*U16))*W16</f>
        <v>0</v>
      </c>
      <c r="BN16" s="45">
        <f>((COUNTIF(AK16:AQ16,"A")*K16)+(COUNTIF(AK16:AQ16,"B")*M16)+(COUNTIF(AK16:AQ16,"C")*O16)+(COUNTIF(AK16:AQ16,"D")*Q16)+(COUNTIF(AK16:AQ16,"E")*S16)++(COUNTIF(AK16:AQ16,"F")*U16))*W16</f>
        <v>0</v>
      </c>
      <c r="BO16" s="45">
        <f>((COUNTIF(AR16:AX16,"A")*K16)+(COUNTIF(AR16:AX16,"B")*M16)+(COUNTIF(AR16:AX16,"C")*O16)+(COUNTIF(AR16:AX16,"D")*Q16)+(COUNTIF(AR16:AX16,"E")*S16)++(COUNTIF(AR16:AX16,"F")*U16))*W16</f>
        <v>0</v>
      </c>
      <c r="BP16" s="45">
        <f>((COUNTIF(AY16:BB16,"A")*K16)+(COUNTIF(AY16:BB16,"B")*M16)+(COUNTIF(AY16:BB16,"C")*O16)+(COUNTIF(AY16:BB16,"D")*Q16)+(COUNTIF(AY16:BB16,"E")*S16)+(COUNTIF(AY16:BB16,"F")*U16))*W16</f>
        <v>0</v>
      </c>
      <c r="BQ16" s="45">
        <f>((COUNTIF(BB16,"A")*K16)+(COUNTIF(BB16,"B")*M16)+(COUNTIF(BB16,"C")*O16)+(COUNTIF(BB16,"D")*Q16)+(COUNTIF(BB16,"E")*S16)+(COUNTIF(BB16,"F")*U16))*W16</f>
        <v>0</v>
      </c>
    </row>
    <row r="17" spans="1:69" ht="12.75" customHeight="1">
      <c r="A17" s="38"/>
      <c r="B17" s="39"/>
      <c r="C17" s="40"/>
      <c r="D17" s="41"/>
      <c r="E17" s="42">
        <f>IF(D17="","",ABS(LEFT(D17,2)))</f>
      </c>
      <c r="F17" s="42">
        <f>IF(D17="","",IF((E17&gt;=19)*(E17&lt;22),"PT","OPT"))</f>
      </c>
      <c r="G17" s="136"/>
      <c r="H17" s="43">
        <f>IF($C$7="",SUMIF(time100,D17,data!$K$16:$K$21),SUMIF(packs,$C$7,data!$K$10:$K$12))</f>
        <v>0</v>
      </c>
      <c r="I17" s="91">
        <f aca="true" t="shared" si="2" ref="I17:I45">COUNTA(X17:BB17)</f>
        <v>0</v>
      </c>
      <c r="J17" s="43">
        <f t="shared" si="1"/>
        <v>0</v>
      </c>
      <c r="K17" s="33" t="b">
        <f aca="true" t="shared" si="3" ref="K17:K45">IF($X$7="Да/Yes",0,IF(G17="Spons tag",H17/2,IF(G17="Spot",$H$7*H17,IF(G17="Paid report",H17*$G$7*1*2/60,IF(AND(G17="Cut-in",$G$7&lt;=10),H17*0.7,IF(G17="Break ID with VO 7+7",H17*1.2,IF(AND(G17="Spons promo",$G$7&lt;=10),H17/2,IF(G17="Break ID 7+7",H17))))))))</f>
        <v>0</v>
      </c>
      <c r="L17" s="34">
        <f aca="true" t="shared" si="4" ref="L17:L45">COUNTIF(X17:BB17,$E$7)</f>
        <v>0</v>
      </c>
      <c r="M17" s="33" t="b">
        <f aca="true" t="shared" si="5" ref="M17:M45">IF($X$8="Да/Yes",0,IF(G17="Spons tag",H17/2,IF(G17="Spot",$H$8*H17,IF(G17="Paid report",H17*$G$8*1*2/60,IF(AND(G17="Cut-in",$G$8&lt;=10),H17*0.7,IF(G17="Break ID with VO 7+7",H17*1.2,IF(AND(G17="Spons promo",$G$8&lt;=10),H17/2,IF(G17="Break ID 7+7",H17))))))))</f>
        <v>0</v>
      </c>
      <c r="N17" s="34">
        <f aca="true" t="shared" si="6" ref="N17:N45">COUNTIF(X17:BB17,$E$8)</f>
        <v>0</v>
      </c>
      <c r="O17" s="33" t="b">
        <f aca="true" t="shared" si="7" ref="O17:O45">IF($X$9="Да/Yes",0,IF(G17="Spons tag",H17/2,IF(G17="Spot",$H$9*H17,IF(G17="Paid report",H17*$G$9*1*2/60,IF(AND(G17="Cut-in",$G$9&lt;=10),H17*0.7,IF(G17="Break ID with VO 7+7",H17*1.2,IF(AND(G17="Spons promo",$G$9&lt;=10),H17/2,IF(G17="Break ID 7+7",H17))))))))</f>
        <v>0</v>
      </c>
      <c r="P17" s="34">
        <f aca="true" t="shared" si="8" ref="P17:P45">COUNTIF(X17:BB17,$E$9)</f>
        <v>0</v>
      </c>
      <c r="Q17" s="33" t="b">
        <f aca="true" t="shared" si="9" ref="Q17:Q45">IF($X$10="Да/Yes",0,IF(G17="Spons tag",H17/2,IF(G17="Spot",$H$10*H17,IF(G17="Paid report",H17*$G$10*1*2/60,IF(AND(G17="Cut-in",$G$10&lt;=10),H17*0.7,IF(G17="Break ID with VO 7+7",H17*1.2,IF(AND(G17="Spons promo",$G$10&lt;=10),H17/2,IF(G17="Break ID 7+7",H17))))))))</f>
        <v>0</v>
      </c>
      <c r="R17" s="34">
        <f aca="true" t="shared" si="10" ref="R17:R45">COUNTIF(X17:BB17,$E$10)</f>
        <v>0</v>
      </c>
      <c r="S17" s="33" t="b">
        <f aca="true" t="shared" si="11" ref="S17:S45">IF($X$11="Да/Yes",0,IF(G17="Spons tag",H17/2,IF(G17="Spot",$H$11*H17,IF(G17="Paid report",H17*$G$11*1*2/60,IF(AND(G17="Cut-in",$G$11&lt;=10),H17*0.7,IF(G17="Break ID with VO 7+7",H17*1.2,IF(AND(G17="Spons promo",$G$11&lt;=10),H17/2,IF(G17="Break ID 7+7",H17))))))))</f>
        <v>0</v>
      </c>
      <c r="T17" s="34">
        <f aca="true" t="shared" si="12" ref="T17:T45">COUNTIF(X17:BB17,$E$11)</f>
        <v>0</v>
      </c>
      <c r="U17" s="33" t="b">
        <f aca="true" t="shared" si="13" ref="U17:U45">IF($X$12="Да/Yes",0,IF(G17="Spons tag",H17/2,IF(G17="Spot",$H$12*H17,IF(G17="Paid report",H17*$G$12*1*2/60,IF(AND(G17="Cut-in",$G$12&lt;=10),H17*0.7,IF(G17="Break ID with VO 7+7",H17*1.2,IF(AND(G17="Spons promo",$G$12&lt;=10),H17/2,IF(G17="Break ID 7+7",H17))))))))</f>
        <v>0</v>
      </c>
      <c r="V17" s="34">
        <f aca="true" t="shared" si="14" ref="V17:V45">COUNTIF(X17:BB17,$E$12)</f>
        <v>0</v>
      </c>
      <c r="W17" s="35">
        <f>IF(BC17="",1,VLOOKUP(BC17,data!$C$3:$D$10,2,FALSE))*(1+BD17)</f>
        <v>1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38"/>
      <c r="BD17" s="44"/>
      <c r="BE17" s="44"/>
      <c r="BF17" s="43">
        <f aca="true" t="shared" si="15" ref="BF17:BF45">IF(I17=0,0,(K17*L17+M17*N17+O17*P17+Q17*R17+S17*T17+U17*V17)/I17)</f>
        <v>0</v>
      </c>
      <c r="BG17" s="43">
        <f aca="true" t="shared" si="16" ref="BG17:BG45">IF(I17=0,0,J17/I17)</f>
        <v>0</v>
      </c>
      <c r="BH17" s="43">
        <f aca="true" t="shared" si="17" ref="BH17:BH45">IF((BG17-BF17)&gt;0,(BG17-BF17)*I17,0)</f>
        <v>0</v>
      </c>
      <c r="BI17" s="43">
        <f aca="true" t="shared" si="18" ref="BI17:BI45">BE17*BG17</f>
        <v>0</v>
      </c>
      <c r="BJ17" s="43">
        <f aca="true" t="shared" si="19" ref="BJ17:BJ45">BH17+BI17</f>
        <v>0</v>
      </c>
      <c r="BL17" s="45">
        <f aca="true" t="shared" si="20" ref="BL17:BL45">((COUNTIF(X17:AC17,"A")*K17)+(COUNTIF(X17:AC17,"B")*M17)+(COUNTIF(X17:AC17,"C")*O17)+(COUNTIF(V17:AC17,"D")*Q17)+(COUNTIF(W17:AC17,"E")*S17)+(COUNTIF(X17:AC17,"F")*U17))*W17</f>
        <v>0</v>
      </c>
      <c r="BM17" s="45">
        <f aca="true" t="shared" si="21" ref="BM17:BM45">((COUNTIF(AD17:AJ17,"A")*K17)+(COUNTIF(AD17:AJ17,"B")*M17)+(COUNTIF(AD17:AJ17,"C")*O17)+(COUNTIF(AD17:AJ17,"D")*Q17)+(COUNTIF(AD17:AJ17,"E")*S17)+(COUNTIF(AD17:AJ17,"F")*U17))*W17</f>
        <v>0</v>
      </c>
      <c r="BN17" s="45">
        <f aca="true" t="shared" si="22" ref="BN17:BN45">((COUNTIF(AK17:AQ17,"A")*K17)+(COUNTIF(AK17:AQ17,"B")*M17)+(COUNTIF(AK17:AQ17,"C")*O17)+(COUNTIF(AK17:AQ17,"D")*Q17)+(COUNTIF(AK17:AQ17,"E")*S17)++(COUNTIF(AK17:AQ17,"F")*U17))*W17</f>
        <v>0</v>
      </c>
      <c r="BO17" s="45">
        <f aca="true" t="shared" si="23" ref="BO17:BO45">((COUNTIF(AR17:AX17,"A")*K17)+(COUNTIF(AR17:AX17,"B")*M17)+(COUNTIF(AR17:AX17,"C")*O17)+(COUNTIF(AR17:AX17,"D")*Q17)+(COUNTIF(AR17:AX17,"E")*S17)++(COUNTIF(AR17:AX17,"F")*U17))*W17</f>
        <v>0</v>
      </c>
      <c r="BP17" s="45">
        <f aca="true" t="shared" si="24" ref="BP17:BP45">((COUNTIF(AY17:BB17,"A")*K17)+(COUNTIF(AY17:BB17,"B")*M17)+(COUNTIF(AY17:BB17,"C")*O17)+(COUNTIF(AY17:BB17,"D")*Q17)+(COUNTIF(AY17:BB17,"E")*S17)+(COUNTIF(AY17:BB17,"F")*U17))*W17</f>
        <v>0</v>
      </c>
      <c r="BQ17" s="45">
        <f aca="true" t="shared" si="25" ref="BQ17:BQ45">((COUNTIF(BB17,"A")*K17)+(COUNTIF(BB17,"B")*M17)+(COUNTIF(BB17,"C")*O17)+(COUNTIF(BB17,"D")*Q17)+(COUNTIF(BB17,"E")*S17)+(COUNTIF(BB17,"F")*U17))*W17</f>
        <v>0</v>
      </c>
    </row>
    <row r="18" spans="1:69" ht="12.75" customHeight="1">
      <c r="A18" s="38"/>
      <c r="B18" s="39"/>
      <c r="C18" s="40"/>
      <c r="D18" s="41"/>
      <c r="E18" s="42">
        <f>IF(D18="","",ABS(LEFT(D18,2)))</f>
      </c>
      <c r="F18" s="42">
        <f>IF(D18="","",IF((E18&gt;=19)*(E18&lt;22),"PT","OPT"))</f>
      </c>
      <c r="G18" s="136"/>
      <c r="H18" s="43">
        <f>IF($C$7="",SUMIF(time100,D18,data!$K$16:$K$21),SUMIF(packs,$C$7,data!$K$10:$K$12))</f>
        <v>0</v>
      </c>
      <c r="I18" s="91">
        <f t="shared" si="2"/>
        <v>0</v>
      </c>
      <c r="J18" s="43">
        <f t="shared" si="1"/>
        <v>0</v>
      </c>
      <c r="K18" s="33" t="b">
        <f t="shared" si="3"/>
        <v>0</v>
      </c>
      <c r="L18" s="34">
        <f t="shared" si="4"/>
        <v>0</v>
      </c>
      <c r="M18" s="33" t="b">
        <f t="shared" si="5"/>
        <v>0</v>
      </c>
      <c r="N18" s="34">
        <f t="shared" si="6"/>
        <v>0</v>
      </c>
      <c r="O18" s="33" t="b">
        <f t="shared" si="7"/>
        <v>0</v>
      </c>
      <c r="P18" s="34">
        <f t="shared" si="8"/>
        <v>0</v>
      </c>
      <c r="Q18" s="33" t="b">
        <f t="shared" si="9"/>
        <v>0</v>
      </c>
      <c r="R18" s="34">
        <f t="shared" si="10"/>
        <v>0</v>
      </c>
      <c r="S18" s="33" t="b">
        <f t="shared" si="11"/>
        <v>0</v>
      </c>
      <c r="T18" s="34">
        <f t="shared" si="12"/>
        <v>0</v>
      </c>
      <c r="U18" s="33" t="b">
        <f t="shared" si="13"/>
        <v>0</v>
      </c>
      <c r="V18" s="34">
        <f t="shared" si="14"/>
        <v>0</v>
      </c>
      <c r="W18" s="35">
        <f>IF(BC18="",1,VLOOKUP(BC18,data!$C$3:$D$10,2,FALSE))*(1+BD18)</f>
        <v>1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38"/>
      <c r="BD18" s="44"/>
      <c r="BE18" s="44"/>
      <c r="BF18" s="43">
        <f t="shared" si="15"/>
        <v>0</v>
      </c>
      <c r="BG18" s="43">
        <f t="shared" si="16"/>
        <v>0</v>
      </c>
      <c r="BH18" s="43">
        <f t="shared" si="17"/>
        <v>0</v>
      </c>
      <c r="BI18" s="43">
        <f t="shared" si="18"/>
        <v>0</v>
      </c>
      <c r="BJ18" s="43">
        <f t="shared" si="19"/>
        <v>0</v>
      </c>
      <c r="BL18" s="45">
        <f t="shared" si="20"/>
        <v>0</v>
      </c>
      <c r="BM18" s="45">
        <f t="shared" si="21"/>
        <v>0</v>
      </c>
      <c r="BN18" s="45">
        <f t="shared" si="22"/>
        <v>0</v>
      </c>
      <c r="BO18" s="45">
        <f t="shared" si="23"/>
        <v>0</v>
      </c>
      <c r="BP18" s="45">
        <f t="shared" si="24"/>
        <v>0</v>
      </c>
      <c r="BQ18" s="45">
        <f t="shared" si="25"/>
        <v>0</v>
      </c>
    </row>
    <row r="19" spans="1:69" ht="12.75" customHeight="1">
      <c r="A19" s="38"/>
      <c r="B19" s="39"/>
      <c r="C19" s="40"/>
      <c r="D19" s="41"/>
      <c r="E19" s="42">
        <f>IF(D19="","",ABS(LEFT(D19,2)))</f>
      </c>
      <c r="F19" s="42">
        <f>IF(D19="","",IF((E19&gt;=19)*(E19&lt;22),"PT","OPT"))</f>
      </c>
      <c r="G19" s="136"/>
      <c r="H19" s="43">
        <f>IF($C$7="",SUMIF(time100,D19,data!$K$16:$K$21),SUMIF(packs,$C$7,data!$K$10:$K$12))</f>
        <v>0</v>
      </c>
      <c r="I19" s="91">
        <f t="shared" si="2"/>
        <v>0</v>
      </c>
      <c r="J19" s="43">
        <f t="shared" si="1"/>
        <v>0</v>
      </c>
      <c r="K19" s="33" t="b">
        <f t="shared" si="3"/>
        <v>0</v>
      </c>
      <c r="L19" s="34">
        <f t="shared" si="4"/>
        <v>0</v>
      </c>
      <c r="M19" s="33" t="b">
        <f t="shared" si="5"/>
        <v>0</v>
      </c>
      <c r="N19" s="34">
        <f t="shared" si="6"/>
        <v>0</v>
      </c>
      <c r="O19" s="33" t="b">
        <f t="shared" si="7"/>
        <v>0</v>
      </c>
      <c r="P19" s="34">
        <f t="shared" si="8"/>
        <v>0</v>
      </c>
      <c r="Q19" s="33" t="b">
        <f t="shared" si="9"/>
        <v>0</v>
      </c>
      <c r="R19" s="34">
        <f t="shared" si="10"/>
        <v>0</v>
      </c>
      <c r="S19" s="33" t="b">
        <f t="shared" si="11"/>
        <v>0</v>
      </c>
      <c r="T19" s="34">
        <f t="shared" si="12"/>
        <v>0</v>
      </c>
      <c r="U19" s="33" t="b">
        <f t="shared" si="13"/>
        <v>0</v>
      </c>
      <c r="V19" s="34">
        <f t="shared" si="14"/>
        <v>0</v>
      </c>
      <c r="W19" s="35">
        <f>IF(BC19="",1,VLOOKUP(BC19,data!$C$3:$D$10,2,FALSE))*(1+BD19)</f>
        <v>1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38"/>
      <c r="BD19" s="44"/>
      <c r="BE19" s="44"/>
      <c r="BF19" s="43">
        <f t="shared" si="15"/>
        <v>0</v>
      </c>
      <c r="BG19" s="43">
        <f t="shared" si="16"/>
        <v>0</v>
      </c>
      <c r="BH19" s="43">
        <f t="shared" si="17"/>
        <v>0</v>
      </c>
      <c r="BI19" s="43">
        <f t="shared" si="18"/>
        <v>0</v>
      </c>
      <c r="BJ19" s="43">
        <f t="shared" si="19"/>
        <v>0</v>
      </c>
      <c r="BL19" s="45">
        <f t="shared" si="20"/>
        <v>0</v>
      </c>
      <c r="BM19" s="45">
        <f t="shared" si="21"/>
        <v>0</v>
      </c>
      <c r="BN19" s="45">
        <f t="shared" si="22"/>
        <v>0</v>
      </c>
      <c r="BO19" s="45">
        <f t="shared" si="23"/>
        <v>0</v>
      </c>
      <c r="BP19" s="45">
        <f t="shared" si="24"/>
        <v>0</v>
      </c>
      <c r="BQ19" s="45">
        <f t="shared" si="25"/>
        <v>0</v>
      </c>
    </row>
    <row r="20" spans="1:69" ht="12.75" customHeight="1">
      <c r="A20" s="38"/>
      <c r="B20" s="39"/>
      <c r="C20" s="40"/>
      <c r="D20" s="41"/>
      <c r="E20" s="42">
        <f aca="true" t="shared" si="26" ref="E20:E45">IF(D20="","",ABS(LEFT(D20,2)))</f>
      </c>
      <c r="F20" s="42">
        <f aca="true" t="shared" si="27" ref="F20:F45">IF(D20="","",IF((E20&gt;=19)*(E20&lt;22),"PT","OPT"))</f>
      </c>
      <c r="G20" s="136"/>
      <c r="H20" s="43">
        <f>IF($C$7="",SUMIF(time100,D20,data!$K$16:$K$21),SUMIF(packs,$C$7,data!$K$10:$K$12))</f>
        <v>0</v>
      </c>
      <c r="I20" s="91">
        <f t="shared" si="2"/>
        <v>0</v>
      </c>
      <c r="J20" s="43">
        <f t="shared" si="1"/>
        <v>0</v>
      </c>
      <c r="K20" s="33" t="b">
        <f t="shared" si="3"/>
        <v>0</v>
      </c>
      <c r="L20" s="34">
        <f t="shared" si="4"/>
        <v>0</v>
      </c>
      <c r="M20" s="33" t="b">
        <f t="shared" si="5"/>
        <v>0</v>
      </c>
      <c r="N20" s="34">
        <f t="shared" si="6"/>
        <v>0</v>
      </c>
      <c r="O20" s="33" t="b">
        <f t="shared" si="7"/>
        <v>0</v>
      </c>
      <c r="P20" s="34">
        <f t="shared" si="8"/>
        <v>0</v>
      </c>
      <c r="Q20" s="33" t="b">
        <f t="shared" si="9"/>
        <v>0</v>
      </c>
      <c r="R20" s="34">
        <f t="shared" si="10"/>
        <v>0</v>
      </c>
      <c r="S20" s="33" t="b">
        <f t="shared" si="11"/>
        <v>0</v>
      </c>
      <c r="T20" s="34">
        <f t="shared" si="12"/>
        <v>0</v>
      </c>
      <c r="U20" s="33" t="b">
        <f t="shared" si="13"/>
        <v>0</v>
      </c>
      <c r="V20" s="34">
        <f t="shared" si="14"/>
        <v>0</v>
      </c>
      <c r="W20" s="35">
        <f>IF(BC20="",1,VLOOKUP(BC20,data!$C$3:$D$10,2,FALSE))*(1+BD20)</f>
        <v>1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38"/>
      <c r="BD20" s="44"/>
      <c r="BE20" s="44"/>
      <c r="BF20" s="43">
        <f t="shared" si="15"/>
        <v>0</v>
      </c>
      <c r="BG20" s="43">
        <f t="shared" si="16"/>
        <v>0</v>
      </c>
      <c r="BH20" s="43">
        <f t="shared" si="17"/>
        <v>0</v>
      </c>
      <c r="BI20" s="43">
        <f t="shared" si="18"/>
        <v>0</v>
      </c>
      <c r="BJ20" s="43">
        <f t="shared" si="19"/>
        <v>0</v>
      </c>
      <c r="BL20" s="45">
        <f t="shared" si="20"/>
        <v>0</v>
      </c>
      <c r="BM20" s="45">
        <f t="shared" si="21"/>
        <v>0</v>
      </c>
      <c r="BN20" s="45">
        <f t="shared" si="22"/>
        <v>0</v>
      </c>
      <c r="BO20" s="45">
        <f t="shared" si="23"/>
        <v>0</v>
      </c>
      <c r="BP20" s="45">
        <f t="shared" si="24"/>
        <v>0</v>
      </c>
      <c r="BQ20" s="45">
        <f t="shared" si="25"/>
        <v>0</v>
      </c>
    </row>
    <row r="21" spans="1:69" ht="12.75" customHeight="1">
      <c r="A21" s="38"/>
      <c r="B21" s="39"/>
      <c r="C21" s="40"/>
      <c r="D21" s="41"/>
      <c r="E21" s="42">
        <f t="shared" si="26"/>
      </c>
      <c r="F21" s="42">
        <f t="shared" si="27"/>
      </c>
      <c r="G21" s="136"/>
      <c r="H21" s="43">
        <f>IF($C$7="",SUMIF(time100,D21,data!$K$16:$K$21),SUMIF(packs,$C$7,data!$K$10:$K$12))</f>
        <v>0</v>
      </c>
      <c r="I21" s="91">
        <f t="shared" si="2"/>
        <v>0</v>
      </c>
      <c r="J21" s="43">
        <f t="shared" si="1"/>
        <v>0</v>
      </c>
      <c r="K21" s="33" t="b">
        <f t="shared" si="3"/>
        <v>0</v>
      </c>
      <c r="L21" s="34">
        <f t="shared" si="4"/>
        <v>0</v>
      </c>
      <c r="M21" s="33" t="b">
        <f t="shared" si="5"/>
        <v>0</v>
      </c>
      <c r="N21" s="34">
        <f t="shared" si="6"/>
        <v>0</v>
      </c>
      <c r="O21" s="33" t="b">
        <f t="shared" si="7"/>
        <v>0</v>
      </c>
      <c r="P21" s="34">
        <f t="shared" si="8"/>
        <v>0</v>
      </c>
      <c r="Q21" s="33" t="b">
        <f t="shared" si="9"/>
        <v>0</v>
      </c>
      <c r="R21" s="34">
        <f t="shared" si="10"/>
        <v>0</v>
      </c>
      <c r="S21" s="33" t="b">
        <f t="shared" si="11"/>
        <v>0</v>
      </c>
      <c r="T21" s="34">
        <f t="shared" si="12"/>
        <v>0</v>
      </c>
      <c r="U21" s="33" t="b">
        <f t="shared" si="13"/>
        <v>0</v>
      </c>
      <c r="V21" s="34">
        <f t="shared" si="14"/>
        <v>0</v>
      </c>
      <c r="W21" s="35">
        <f>IF(BC21="",1,VLOOKUP(BC21,data!$C$3:$D$10,2,FALSE))*(1+BD21)</f>
        <v>1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38"/>
      <c r="BD21" s="44"/>
      <c r="BE21" s="44"/>
      <c r="BF21" s="43">
        <f t="shared" si="15"/>
        <v>0</v>
      </c>
      <c r="BG21" s="43">
        <f t="shared" si="16"/>
        <v>0</v>
      </c>
      <c r="BH21" s="43">
        <f t="shared" si="17"/>
        <v>0</v>
      </c>
      <c r="BI21" s="43">
        <f t="shared" si="18"/>
        <v>0</v>
      </c>
      <c r="BJ21" s="43">
        <f t="shared" si="19"/>
        <v>0</v>
      </c>
      <c r="BL21" s="45">
        <f t="shared" si="20"/>
        <v>0</v>
      </c>
      <c r="BM21" s="45">
        <f t="shared" si="21"/>
        <v>0</v>
      </c>
      <c r="BN21" s="45">
        <f t="shared" si="22"/>
        <v>0</v>
      </c>
      <c r="BO21" s="45">
        <f t="shared" si="23"/>
        <v>0</v>
      </c>
      <c r="BP21" s="45">
        <f t="shared" si="24"/>
        <v>0</v>
      </c>
      <c r="BQ21" s="45">
        <f t="shared" si="25"/>
        <v>0</v>
      </c>
    </row>
    <row r="22" spans="1:69" ht="12.75" customHeight="1">
      <c r="A22" s="38"/>
      <c r="B22" s="39"/>
      <c r="C22" s="40"/>
      <c r="D22" s="41"/>
      <c r="E22" s="42">
        <f t="shared" si="26"/>
      </c>
      <c r="F22" s="42">
        <f t="shared" si="27"/>
      </c>
      <c r="G22" s="136"/>
      <c r="H22" s="43">
        <f>IF($C$7="",SUMIF(time100,D22,data!$K$16:$K$21),SUMIF(packs,$C$7,data!$K$10:$K$12))</f>
        <v>0</v>
      </c>
      <c r="I22" s="91">
        <f t="shared" si="2"/>
        <v>0</v>
      </c>
      <c r="J22" s="43">
        <f t="shared" si="1"/>
        <v>0</v>
      </c>
      <c r="K22" s="33" t="b">
        <f t="shared" si="3"/>
        <v>0</v>
      </c>
      <c r="L22" s="34">
        <f t="shared" si="4"/>
        <v>0</v>
      </c>
      <c r="M22" s="33" t="b">
        <f t="shared" si="5"/>
        <v>0</v>
      </c>
      <c r="N22" s="34">
        <f t="shared" si="6"/>
        <v>0</v>
      </c>
      <c r="O22" s="33" t="b">
        <f t="shared" si="7"/>
        <v>0</v>
      </c>
      <c r="P22" s="34">
        <f t="shared" si="8"/>
        <v>0</v>
      </c>
      <c r="Q22" s="33" t="b">
        <f t="shared" si="9"/>
        <v>0</v>
      </c>
      <c r="R22" s="34">
        <f t="shared" si="10"/>
        <v>0</v>
      </c>
      <c r="S22" s="33" t="b">
        <f t="shared" si="11"/>
        <v>0</v>
      </c>
      <c r="T22" s="34">
        <f t="shared" si="12"/>
        <v>0</v>
      </c>
      <c r="U22" s="33" t="b">
        <f t="shared" si="13"/>
        <v>0</v>
      </c>
      <c r="V22" s="34">
        <f t="shared" si="14"/>
        <v>0</v>
      </c>
      <c r="W22" s="35">
        <f>IF(BC22="",1,VLOOKUP(BC22,data!$C$3:$D$10,2,FALSE))*(1+BD22)</f>
        <v>1</v>
      </c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38"/>
      <c r="BD22" s="44"/>
      <c r="BE22" s="44"/>
      <c r="BF22" s="43">
        <f t="shared" si="15"/>
        <v>0</v>
      </c>
      <c r="BG22" s="43">
        <f t="shared" si="16"/>
        <v>0</v>
      </c>
      <c r="BH22" s="43">
        <f t="shared" si="17"/>
        <v>0</v>
      </c>
      <c r="BI22" s="43">
        <f t="shared" si="18"/>
        <v>0</v>
      </c>
      <c r="BJ22" s="43">
        <f t="shared" si="19"/>
        <v>0</v>
      </c>
      <c r="BL22" s="45">
        <f t="shared" si="20"/>
        <v>0</v>
      </c>
      <c r="BM22" s="45">
        <f t="shared" si="21"/>
        <v>0</v>
      </c>
      <c r="BN22" s="45">
        <f t="shared" si="22"/>
        <v>0</v>
      </c>
      <c r="BO22" s="45">
        <f t="shared" si="23"/>
        <v>0</v>
      </c>
      <c r="BP22" s="45">
        <f t="shared" si="24"/>
        <v>0</v>
      </c>
      <c r="BQ22" s="45">
        <f t="shared" si="25"/>
        <v>0</v>
      </c>
    </row>
    <row r="23" spans="1:69" ht="12.75" customHeight="1">
      <c r="A23" s="38"/>
      <c r="B23" s="39"/>
      <c r="C23" s="40"/>
      <c r="D23" s="41"/>
      <c r="E23" s="42">
        <f t="shared" si="26"/>
      </c>
      <c r="F23" s="42">
        <f t="shared" si="27"/>
      </c>
      <c r="G23" s="136"/>
      <c r="H23" s="43">
        <f>IF($C$7="",SUMIF(time100,D23,data!$K$16:$K$21),SUMIF(packs,$C$7,data!$K$10:$K$12))</f>
        <v>0</v>
      </c>
      <c r="I23" s="91">
        <f t="shared" si="2"/>
        <v>0</v>
      </c>
      <c r="J23" s="43">
        <f t="shared" si="1"/>
        <v>0</v>
      </c>
      <c r="K23" s="33" t="b">
        <f t="shared" si="3"/>
        <v>0</v>
      </c>
      <c r="L23" s="34">
        <f t="shared" si="4"/>
        <v>0</v>
      </c>
      <c r="M23" s="33" t="b">
        <f t="shared" si="5"/>
        <v>0</v>
      </c>
      <c r="N23" s="34">
        <f t="shared" si="6"/>
        <v>0</v>
      </c>
      <c r="O23" s="33" t="b">
        <f t="shared" si="7"/>
        <v>0</v>
      </c>
      <c r="P23" s="34">
        <f t="shared" si="8"/>
        <v>0</v>
      </c>
      <c r="Q23" s="33" t="b">
        <f t="shared" si="9"/>
        <v>0</v>
      </c>
      <c r="R23" s="34">
        <f t="shared" si="10"/>
        <v>0</v>
      </c>
      <c r="S23" s="33" t="b">
        <f t="shared" si="11"/>
        <v>0</v>
      </c>
      <c r="T23" s="34">
        <f t="shared" si="12"/>
        <v>0</v>
      </c>
      <c r="U23" s="33" t="b">
        <f t="shared" si="13"/>
        <v>0</v>
      </c>
      <c r="V23" s="34">
        <f t="shared" si="14"/>
        <v>0</v>
      </c>
      <c r="W23" s="35">
        <f>IF(BC23="",1,VLOOKUP(BC23,data!$C$3:$D$10,2,FALSE))*(1+BD23)</f>
        <v>1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38"/>
      <c r="BD23" s="44"/>
      <c r="BE23" s="44"/>
      <c r="BF23" s="43">
        <f t="shared" si="15"/>
        <v>0</v>
      </c>
      <c r="BG23" s="43">
        <f t="shared" si="16"/>
        <v>0</v>
      </c>
      <c r="BH23" s="43">
        <f t="shared" si="17"/>
        <v>0</v>
      </c>
      <c r="BI23" s="43">
        <f t="shared" si="18"/>
        <v>0</v>
      </c>
      <c r="BJ23" s="43">
        <f t="shared" si="19"/>
        <v>0</v>
      </c>
      <c r="BL23" s="45">
        <f t="shared" si="20"/>
        <v>0</v>
      </c>
      <c r="BM23" s="45">
        <f t="shared" si="21"/>
        <v>0</v>
      </c>
      <c r="BN23" s="45">
        <f t="shared" si="22"/>
        <v>0</v>
      </c>
      <c r="BO23" s="45">
        <f t="shared" si="23"/>
        <v>0</v>
      </c>
      <c r="BP23" s="45">
        <f t="shared" si="24"/>
        <v>0</v>
      </c>
      <c r="BQ23" s="45">
        <f t="shared" si="25"/>
        <v>0</v>
      </c>
    </row>
    <row r="24" spans="1:69" ht="12.75" customHeight="1">
      <c r="A24" s="38"/>
      <c r="B24" s="39"/>
      <c r="C24" s="40"/>
      <c r="D24" s="41"/>
      <c r="E24" s="42">
        <f t="shared" si="26"/>
      </c>
      <c r="F24" s="42">
        <f t="shared" si="27"/>
      </c>
      <c r="G24" s="136"/>
      <c r="H24" s="43">
        <f>IF($C$7="",SUMIF(time100,D24,data!$K$16:$K$21),SUMIF(packs,$C$7,data!$K$10:$K$12))</f>
        <v>0</v>
      </c>
      <c r="I24" s="91">
        <f t="shared" si="2"/>
        <v>0</v>
      </c>
      <c r="J24" s="43">
        <f t="shared" si="1"/>
        <v>0</v>
      </c>
      <c r="K24" s="33" t="b">
        <f t="shared" si="3"/>
        <v>0</v>
      </c>
      <c r="L24" s="34">
        <f t="shared" si="4"/>
        <v>0</v>
      </c>
      <c r="M24" s="33" t="b">
        <f t="shared" si="5"/>
        <v>0</v>
      </c>
      <c r="N24" s="34">
        <f t="shared" si="6"/>
        <v>0</v>
      </c>
      <c r="O24" s="33" t="b">
        <f t="shared" si="7"/>
        <v>0</v>
      </c>
      <c r="P24" s="34">
        <f t="shared" si="8"/>
        <v>0</v>
      </c>
      <c r="Q24" s="33" t="b">
        <f t="shared" si="9"/>
        <v>0</v>
      </c>
      <c r="R24" s="34">
        <f t="shared" si="10"/>
        <v>0</v>
      </c>
      <c r="S24" s="33" t="b">
        <f t="shared" si="11"/>
        <v>0</v>
      </c>
      <c r="T24" s="34">
        <f t="shared" si="12"/>
        <v>0</v>
      </c>
      <c r="U24" s="33" t="b">
        <f t="shared" si="13"/>
        <v>0</v>
      </c>
      <c r="V24" s="34">
        <f t="shared" si="14"/>
        <v>0</v>
      </c>
      <c r="W24" s="35">
        <f>IF(BC24="",1,VLOOKUP(BC24,data!$C$3:$D$10,2,FALSE))*(1+BD24)</f>
        <v>1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38"/>
      <c r="BD24" s="44"/>
      <c r="BE24" s="44"/>
      <c r="BF24" s="43">
        <f t="shared" si="15"/>
        <v>0</v>
      </c>
      <c r="BG24" s="43">
        <f t="shared" si="16"/>
        <v>0</v>
      </c>
      <c r="BH24" s="43">
        <f t="shared" si="17"/>
        <v>0</v>
      </c>
      <c r="BI24" s="43">
        <f t="shared" si="18"/>
        <v>0</v>
      </c>
      <c r="BJ24" s="43">
        <f t="shared" si="19"/>
        <v>0</v>
      </c>
      <c r="BL24" s="45">
        <f t="shared" si="20"/>
        <v>0</v>
      </c>
      <c r="BM24" s="45">
        <f t="shared" si="21"/>
        <v>0</v>
      </c>
      <c r="BN24" s="45">
        <f t="shared" si="22"/>
        <v>0</v>
      </c>
      <c r="BO24" s="45">
        <f t="shared" si="23"/>
        <v>0</v>
      </c>
      <c r="BP24" s="45">
        <f t="shared" si="24"/>
        <v>0</v>
      </c>
      <c r="BQ24" s="45">
        <f t="shared" si="25"/>
        <v>0</v>
      </c>
    </row>
    <row r="25" spans="1:69" ht="12.75" customHeight="1">
      <c r="A25" s="38"/>
      <c r="B25" s="39"/>
      <c r="C25" s="40"/>
      <c r="D25" s="41"/>
      <c r="E25" s="42">
        <f t="shared" si="26"/>
      </c>
      <c r="F25" s="42">
        <f t="shared" si="27"/>
      </c>
      <c r="G25" s="136"/>
      <c r="H25" s="43">
        <f>IF($C$7="",SUMIF(time100,D25,data!$K$16:$K$21),SUMIF(packs,$C$7,data!$K$10:$K$12))</f>
        <v>0</v>
      </c>
      <c r="I25" s="91">
        <f t="shared" si="2"/>
        <v>0</v>
      </c>
      <c r="J25" s="43">
        <f t="shared" si="1"/>
        <v>0</v>
      </c>
      <c r="K25" s="33" t="b">
        <f t="shared" si="3"/>
        <v>0</v>
      </c>
      <c r="L25" s="34">
        <f t="shared" si="4"/>
        <v>0</v>
      </c>
      <c r="M25" s="33" t="b">
        <f t="shared" si="5"/>
        <v>0</v>
      </c>
      <c r="N25" s="34">
        <f t="shared" si="6"/>
        <v>0</v>
      </c>
      <c r="O25" s="33" t="b">
        <f t="shared" si="7"/>
        <v>0</v>
      </c>
      <c r="P25" s="34">
        <f t="shared" si="8"/>
        <v>0</v>
      </c>
      <c r="Q25" s="33" t="b">
        <f t="shared" si="9"/>
        <v>0</v>
      </c>
      <c r="R25" s="34">
        <f t="shared" si="10"/>
        <v>0</v>
      </c>
      <c r="S25" s="33" t="b">
        <f t="shared" si="11"/>
        <v>0</v>
      </c>
      <c r="T25" s="34">
        <f t="shared" si="12"/>
        <v>0</v>
      </c>
      <c r="U25" s="33" t="b">
        <f t="shared" si="13"/>
        <v>0</v>
      </c>
      <c r="V25" s="34">
        <f t="shared" si="14"/>
        <v>0</v>
      </c>
      <c r="W25" s="35">
        <f>IF(BC25="",1,VLOOKUP(BC25,data!$C$3:$D$10,2,FALSE))*(1+BD25)</f>
        <v>1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38"/>
      <c r="BD25" s="44"/>
      <c r="BE25" s="44"/>
      <c r="BF25" s="43">
        <f t="shared" si="15"/>
        <v>0</v>
      </c>
      <c r="BG25" s="43">
        <f t="shared" si="16"/>
        <v>0</v>
      </c>
      <c r="BH25" s="43">
        <f t="shared" si="17"/>
        <v>0</v>
      </c>
      <c r="BI25" s="43">
        <f t="shared" si="18"/>
        <v>0</v>
      </c>
      <c r="BJ25" s="43">
        <f t="shared" si="19"/>
        <v>0</v>
      </c>
      <c r="BL25" s="45">
        <f t="shared" si="20"/>
        <v>0</v>
      </c>
      <c r="BM25" s="45">
        <f t="shared" si="21"/>
        <v>0</v>
      </c>
      <c r="BN25" s="45">
        <f t="shared" si="22"/>
        <v>0</v>
      </c>
      <c r="BO25" s="45">
        <f t="shared" si="23"/>
        <v>0</v>
      </c>
      <c r="BP25" s="45">
        <f t="shared" si="24"/>
        <v>0</v>
      </c>
      <c r="BQ25" s="45">
        <f t="shared" si="25"/>
        <v>0</v>
      </c>
    </row>
    <row r="26" spans="1:69" ht="12.75" customHeight="1">
      <c r="A26" s="38"/>
      <c r="B26" s="39"/>
      <c r="C26" s="40"/>
      <c r="D26" s="41"/>
      <c r="E26" s="42">
        <f t="shared" si="26"/>
      </c>
      <c r="F26" s="42">
        <f t="shared" si="27"/>
      </c>
      <c r="G26" s="136"/>
      <c r="H26" s="43">
        <f>IF($C$7="",SUMIF(time100,D26,data!$K$16:$K$21),SUMIF(packs,$C$7,data!$K$10:$K$12))</f>
        <v>0</v>
      </c>
      <c r="I26" s="91">
        <f t="shared" si="2"/>
        <v>0</v>
      </c>
      <c r="J26" s="43">
        <f t="shared" si="1"/>
        <v>0</v>
      </c>
      <c r="K26" s="33" t="b">
        <f t="shared" si="3"/>
        <v>0</v>
      </c>
      <c r="L26" s="34">
        <f t="shared" si="4"/>
        <v>0</v>
      </c>
      <c r="M26" s="33" t="b">
        <f t="shared" si="5"/>
        <v>0</v>
      </c>
      <c r="N26" s="34">
        <f t="shared" si="6"/>
        <v>0</v>
      </c>
      <c r="O26" s="33" t="b">
        <f t="shared" si="7"/>
        <v>0</v>
      </c>
      <c r="P26" s="34">
        <f t="shared" si="8"/>
        <v>0</v>
      </c>
      <c r="Q26" s="33" t="b">
        <f t="shared" si="9"/>
        <v>0</v>
      </c>
      <c r="R26" s="34">
        <f t="shared" si="10"/>
        <v>0</v>
      </c>
      <c r="S26" s="33" t="b">
        <f t="shared" si="11"/>
        <v>0</v>
      </c>
      <c r="T26" s="34">
        <f t="shared" si="12"/>
        <v>0</v>
      </c>
      <c r="U26" s="33" t="b">
        <f t="shared" si="13"/>
        <v>0</v>
      </c>
      <c r="V26" s="34">
        <f t="shared" si="14"/>
        <v>0</v>
      </c>
      <c r="W26" s="35">
        <f>IF(BC26="",1,VLOOKUP(BC26,data!$C$3:$D$10,2,FALSE))*(1+BD26)</f>
        <v>1</v>
      </c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38"/>
      <c r="BD26" s="44"/>
      <c r="BE26" s="44"/>
      <c r="BF26" s="43">
        <f t="shared" si="15"/>
        <v>0</v>
      </c>
      <c r="BG26" s="43">
        <f t="shared" si="16"/>
        <v>0</v>
      </c>
      <c r="BH26" s="43">
        <f t="shared" si="17"/>
        <v>0</v>
      </c>
      <c r="BI26" s="43">
        <f t="shared" si="18"/>
        <v>0</v>
      </c>
      <c r="BJ26" s="43">
        <f t="shared" si="19"/>
        <v>0</v>
      </c>
      <c r="BL26" s="45">
        <f t="shared" si="20"/>
        <v>0</v>
      </c>
      <c r="BM26" s="45">
        <f t="shared" si="21"/>
        <v>0</v>
      </c>
      <c r="BN26" s="45">
        <f t="shared" si="22"/>
        <v>0</v>
      </c>
      <c r="BO26" s="45">
        <f t="shared" si="23"/>
        <v>0</v>
      </c>
      <c r="BP26" s="45">
        <f t="shared" si="24"/>
        <v>0</v>
      </c>
      <c r="BQ26" s="45">
        <f t="shared" si="25"/>
        <v>0</v>
      </c>
    </row>
    <row r="27" spans="1:69" ht="12.75" customHeight="1">
      <c r="A27" s="38"/>
      <c r="B27" s="39"/>
      <c r="C27" s="40"/>
      <c r="D27" s="41"/>
      <c r="E27" s="42">
        <f t="shared" si="26"/>
      </c>
      <c r="F27" s="42">
        <f t="shared" si="27"/>
      </c>
      <c r="G27" s="136"/>
      <c r="H27" s="43">
        <f>IF($C$7="",SUMIF(time100,D27,data!$K$16:$K$21),SUMIF(packs,$C$7,data!$K$10:$K$12))</f>
        <v>0</v>
      </c>
      <c r="I27" s="91">
        <f t="shared" si="2"/>
        <v>0</v>
      </c>
      <c r="J27" s="43">
        <f t="shared" si="1"/>
        <v>0</v>
      </c>
      <c r="K27" s="33" t="b">
        <f t="shared" si="3"/>
        <v>0</v>
      </c>
      <c r="L27" s="34">
        <f t="shared" si="4"/>
        <v>0</v>
      </c>
      <c r="M27" s="33" t="b">
        <f t="shared" si="5"/>
        <v>0</v>
      </c>
      <c r="N27" s="34">
        <f t="shared" si="6"/>
        <v>0</v>
      </c>
      <c r="O27" s="33" t="b">
        <f t="shared" si="7"/>
        <v>0</v>
      </c>
      <c r="P27" s="34">
        <f t="shared" si="8"/>
        <v>0</v>
      </c>
      <c r="Q27" s="33" t="b">
        <f t="shared" si="9"/>
        <v>0</v>
      </c>
      <c r="R27" s="34">
        <f t="shared" si="10"/>
        <v>0</v>
      </c>
      <c r="S27" s="33" t="b">
        <f t="shared" si="11"/>
        <v>0</v>
      </c>
      <c r="T27" s="34">
        <f t="shared" si="12"/>
        <v>0</v>
      </c>
      <c r="U27" s="33" t="b">
        <f t="shared" si="13"/>
        <v>0</v>
      </c>
      <c r="V27" s="34">
        <f t="shared" si="14"/>
        <v>0</v>
      </c>
      <c r="W27" s="35">
        <f>IF(BC27="",1,VLOOKUP(BC27,data!$C$3:$D$10,2,FALSE))*(1+BD27)</f>
        <v>1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38"/>
      <c r="BD27" s="44"/>
      <c r="BE27" s="44"/>
      <c r="BF27" s="43">
        <f t="shared" si="15"/>
        <v>0</v>
      </c>
      <c r="BG27" s="43">
        <f t="shared" si="16"/>
        <v>0</v>
      </c>
      <c r="BH27" s="43">
        <f t="shared" si="17"/>
        <v>0</v>
      </c>
      <c r="BI27" s="43">
        <f t="shared" si="18"/>
        <v>0</v>
      </c>
      <c r="BJ27" s="43">
        <f t="shared" si="19"/>
        <v>0</v>
      </c>
      <c r="BL27" s="45">
        <f t="shared" si="20"/>
        <v>0</v>
      </c>
      <c r="BM27" s="45">
        <f t="shared" si="21"/>
        <v>0</v>
      </c>
      <c r="BN27" s="45">
        <f t="shared" si="22"/>
        <v>0</v>
      </c>
      <c r="BO27" s="45">
        <f t="shared" si="23"/>
        <v>0</v>
      </c>
      <c r="BP27" s="45">
        <f t="shared" si="24"/>
        <v>0</v>
      </c>
      <c r="BQ27" s="45">
        <f t="shared" si="25"/>
        <v>0</v>
      </c>
    </row>
    <row r="28" spans="1:69" ht="12.75" customHeight="1">
      <c r="A28" s="38"/>
      <c r="B28" s="39"/>
      <c r="C28" s="40"/>
      <c r="D28" s="41"/>
      <c r="E28" s="42">
        <f t="shared" si="26"/>
      </c>
      <c r="F28" s="42">
        <f t="shared" si="27"/>
      </c>
      <c r="G28" s="136"/>
      <c r="H28" s="43">
        <f>IF($C$7="",SUMIF(time100,D28,data!$K$16:$K$21),SUMIF(packs,$C$7,data!$K$10:$K$12))</f>
        <v>0</v>
      </c>
      <c r="I28" s="91">
        <f t="shared" si="2"/>
        <v>0</v>
      </c>
      <c r="J28" s="43">
        <f t="shared" si="1"/>
        <v>0</v>
      </c>
      <c r="K28" s="33" t="b">
        <f t="shared" si="3"/>
        <v>0</v>
      </c>
      <c r="L28" s="34">
        <f t="shared" si="4"/>
        <v>0</v>
      </c>
      <c r="M28" s="33" t="b">
        <f t="shared" si="5"/>
        <v>0</v>
      </c>
      <c r="N28" s="34">
        <f t="shared" si="6"/>
        <v>0</v>
      </c>
      <c r="O28" s="33" t="b">
        <f t="shared" si="7"/>
        <v>0</v>
      </c>
      <c r="P28" s="34">
        <f t="shared" si="8"/>
        <v>0</v>
      </c>
      <c r="Q28" s="33" t="b">
        <f t="shared" si="9"/>
        <v>0</v>
      </c>
      <c r="R28" s="34">
        <f t="shared" si="10"/>
        <v>0</v>
      </c>
      <c r="S28" s="33" t="b">
        <f t="shared" si="11"/>
        <v>0</v>
      </c>
      <c r="T28" s="34">
        <f t="shared" si="12"/>
        <v>0</v>
      </c>
      <c r="U28" s="33" t="b">
        <f t="shared" si="13"/>
        <v>0</v>
      </c>
      <c r="V28" s="34">
        <f t="shared" si="14"/>
        <v>0</v>
      </c>
      <c r="W28" s="35">
        <f>IF(BC28="",1,VLOOKUP(BC28,data!$C$3:$D$10,2,FALSE))*(1+BD28)</f>
        <v>1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38"/>
      <c r="BD28" s="44"/>
      <c r="BE28" s="44"/>
      <c r="BF28" s="43">
        <f t="shared" si="15"/>
        <v>0</v>
      </c>
      <c r="BG28" s="43">
        <f t="shared" si="16"/>
        <v>0</v>
      </c>
      <c r="BH28" s="43">
        <f t="shared" si="17"/>
        <v>0</v>
      </c>
      <c r="BI28" s="43">
        <f t="shared" si="18"/>
        <v>0</v>
      </c>
      <c r="BJ28" s="43">
        <f t="shared" si="19"/>
        <v>0</v>
      </c>
      <c r="BL28" s="45">
        <f t="shared" si="20"/>
        <v>0</v>
      </c>
      <c r="BM28" s="45">
        <f t="shared" si="21"/>
        <v>0</v>
      </c>
      <c r="BN28" s="45">
        <f t="shared" si="22"/>
        <v>0</v>
      </c>
      <c r="BO28" s="45">
        <f t="shared" si="23"/>
        <v>0</v>
      </c>
      <c r="BP28" s="45">
        <f t="shared" si="24"/>
        <v>0</v>
      </c>
      <c r="BQ28" s="45">
        <f t="shared" si="25"/>
        <v>0</v>
      </c>
    </row>
    <row r="29" spans="1:69" ht="12.75" customHeight="1">
      <c r="A29" s="38"/>
      <c r="B29" s="39"/>
      <c r="C29" s="40"/>
      <c r="D29" s="41"/>
      <c r="E29" s="42">
        <f t="shared" si="26"/>
      </c>
      <c r="F29" s="42">
        <f t="shared" si="27"/>
      </c>
      <c r="G29" s="136"/>
      <c r="H29" s="43">
        <f>IF($C$7="",SUMIF(time100,D29,data!$K$16:$K$21),SUMIF(packs,$C$7,data!$K$10:$K$12))</f>
        <v>0</v>
      </c>
      <c r="I29" s="91">
        <f t="shared" si="2"/>
        <v>0</v>
      </c>
      <c r="J29" s="43">
        <f t="shared" si="1"/>
        <v>0</v>
      </c>
      <c r="K29" s="33" t="b">
        <f t="shared" si="3"/>
        <v>0</v>
      </c>
      <c r="L29" s="34">
        <f t="shared" si="4"/>
        <v>0</v>
      </c>
      <c r="M29" s="33" t="b">
        <f t="shared" si="5"/>
        <v>0</v>
      </c>
      <c r="N29" s="34">
        <f t="shared" si="6"/>
        <v>0</v>
      </c>
      <c r="O29" s="33" t="b">
        <f t="shared" si="7"/>
        <v>0</v>
      </c>
      <c r="P29" s="34">
        <f t="shared" si="8"/>
        <v>0</v>
      </c>
      <c r="Q29" s="33" t="b">
        <f t="shared" si="9"/>
        <v>0</v>
      </c>
      <c r="R29" s="34">
        <f t="shared" si="10"/>
        <v>0</v>
      </c>
      <c r="S29" s="33" t="b">
        <f t="shared" si="11"/>
        <v>0</v>
      </c>
      <c r="T29" s="34">
        <f t="shared" si="12"/>
        <v>0</v>
      </c>
      <c r="U29" s="33" t="b">
        <f t="shared" si="13"/>
        <v>0</v>
      </c>
      <c r="V29" s="34">
        <f t="shared" si="14"/>
        <v>0</v>
      </c>
      <c r="W29" s="35">
        <f>IF(BC29="",1,VLOOKUP(BC29,data!$C$3:$D$10,2,FALSE))*(1+BD29)</f>
        <v>1</v>
      </c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38"/>
      <c r="BD29" s="44"/>
      <c r="BE29" s="44"/>
      <c r="BF29" s="43">
        <f t="shared" si="15"/>
        <v>0</v>
      </c>
      <c r="BG29" s="43">
        <f t="shared" si="16"/>
        <v>0</v>
      </c>
      <c r="BH29" s="43">
        <f t="shared" si="17"/>
        <v>0</v>
      </c>
      <c r="BI29" s="43">
        <f t="shared" si="18"/>
        <v>0</v>
      </c>
      <c r="BJ29" s="43">
        <f t="shared" si="19"/>
        <v>0</v>
      </c>
      <c r="BL29" s="45">
        <f t="shared" si="20"/>
        <v>0</v>
      </c>
      <c r="BM29" s="45">
        <f t="shared" si="21"/>
        <v>0</v>
      </c>
      <c r="BN29" s="45">
        <f t="shared" si="22"/>
        <v>0</v>
      </c>
      <c r="BO29" s="45">
        <f t="shared" si="23"/>
        <v>0</v>
      </c>
      <c r="BP29" s="45">
        <f t="shared" si="24"/>
        <v>0</v>
      </c>
      <c r="BQ29" s="45">
        <f t="shared" si="25"/>
        <v>0</v>
      </c>
    </row>
    <row r="30" spans="1:69" ht="12.75" customHeight="1">
      <c r="A30" s="38"/>
      <c r="B30" s="39"/>
      <c r="C30" s="40"/>
      <c r="D30" s="41"/>
      <c r="E30" s="42">
        <f t="shared" si="26"/>
      </c>
      <c r="F30" s="42">
        <f t="shared" si="27"/>
      </c>
      <c r="G30" s="136"/>
      <c r="H30" s="43">
        <f>IF($C$7="",SUMIF(time100,D30,data!$K$16:$K$21),SUMIF(packs,$C$7,data!$K$10:$K$12))</f>
        <v>0</v>
      </c>
      <c r="I30" s="91">
        <f t="shared" si="2"/>
        <v>0</v>
      </c>
      <c r="J30" s="43">
        <f t="shared" si="1"/>
        <v>0</v>
      </c>
      <c r="K30" s="33" t="b">
        <f t="shared" si="3"/>
        <v>0</v>
      </c>
      <c r="L30" s="34">
        <f t="shared" si="4"/>
        <v>0</v>
      </c>
      <c r="M30" s="33" t="b">
        <f t="shared" si="5"/>
        <v>0</v>
      </c>
      <c r="N30" s="34">
        <f t="shared" si="6"/>
        <v>0</v>
      </c>
      <c r="O30" s="33" t="b">
        <f t="shared" si="7"/>
        <v>0</v>
      </c>
      <c r="P30" s="34">
        <f t="shared" si="8"/>
        <v>0</v>
      </c>
      <c r="Q30" s="33" t="b">
        <f t="shared" si="9"/>
        <v>0</v>
      </c>
      <c r="R30" s="34">
        <f t="shared" si="10"/>
        <v>0</v>
      </c>
      <c r="S30" s="33" t="b">
        <f t="shared" si="11"/>
        <v>0</v>
      </c>
      <c r="T30" s="34">
        <f t="shared" si="12"/>
        <v>0</v>
      </c>
      <c r="U30" s="33" t="b">
        <f t="shared" si="13"/>
        <v>0</v>
      </c>
      <c r="V30" s="34">
        <f t="shared" si="14"/>
        <v>0</v>
      </c>
      <c r="W30" s="35">
        <f>IF(BC30="",1,VLOOKUP(BC30,data!$C$3:$D$10,2,FALSE))*(1+BD30)</f>
        <v>1</v>
      </c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38"/>
      <c r="BD30" s="44"/>
      <c r="BE30" s="44"/>
      <c r="BF30" s="43">
        <f t="shared" si="15"/>
        <v>0</v>
      </c>
      <c r="BG30" s="43">
        <f t="shared" si="16"/>
        <v>0</v>
      </c>
      <c r="BH30" s="43">
        <f t="shared" si="17"/>
        <v>0</v>
      </c>
      <c r="BI30" s="43">
        <f t="shared" si="18"/>
        <v>0</v>
      </c>
      <c r="BJ30" s="43">
        <f t="shared" si="19"/>
        <v>0</v>
      </c>
      <c r="BL30" s="45">
        <f t="shared" si="20"/>
        <v>0</v>
      </c>
      <c r="BM30" s="45">
        <f t="shared" si="21"/>
        <v>0</v>
      </c>
      <c r="BN30" s="45">
        <f t="shared" si="22"/>
        <v>0</v>
      </c>
      <c r="BO30" s="45">
        <f t="shared" si="23"/>
        <v>0</v>
      </c>
      <c r="BP30" s="45">
        <f t="shared" si="24"/>
        <v>0</v>
      </c>
      <c r="BQ30" s="45">
        <f t="shared" si="25"/>
        <v>0</v>
      </c>
    </row>
    <row r="31" spans="1:69" ht="12.75" customHeight="1">
      <c r="A31" s="38"/>
      <c r="B31" s="39"/>
      <c r="C31" s="40"/>
      <c r="D31" s="41"/>
      <c r="E31" s="42">
        <f t="shared" si="26"/>
      </c>
      <c r="F31" s="42">
        <f t="shared" si="27"/>
      </c>
      <c r="G31" s="136"/>
      <c r="H31" s="43">
        <f>IF($C$7="",SUMIF(time100,D31,data!$K$16:$K$21),SUMIF(packs,$C$7,data!$K$10:$K$12))</f>
        <v>0</v>
      </c>
      <c r="I31" s="91">
        <f t="shared" si="2"/>
        <v>0</v>
      </c>
      <c r="J31" s="43">
        <f t="shared" si="1"/>
        <v>0</v>
      </c>
      <c r="K31" s="33" t="b">
        <f t="shared" si="3"/>
        <v>0</v>
      </c>
      <c r="L31" s="34">
        <f t="shared" si="4"/>
        <v>0</v>
      </c>
      <c r="M31" s="33" t="b">
        <f t="shared" si="5"/>
        <v>0</v>
      </c>
      <c r="N31" s="34">
        <f t="shared" si="6"/>
        <v>0</v>
      </c>
      <c r="O31" s="33" t="b">
        <f t="shared" si="7"/>
        <v>0</v>
      </c>
      <c r="P31" s="34">
        <f t="shared" si="8"/>
        <v>0</v>
      </c>
      <c r="Q31" s="33" t="b">
        <f t="shared" si="9"/>
        <v>0</v>
      </c>
      <c r="R31" s="34">
        <f t="shared" si="10"/>
        <v>0</v>
      </c>
      <c r="S31" s="33" t="b">
        <f t="shared" si="11"/>
        <v>0</v>
      </c>
      <c r="T31" s="34">
        <f t="shared" si="12"/>
        <v>0</v>
      </c>
      <c r="U31" s="33" t="b">
        <f t="shared" si="13"/>
        <v>0</v>
      </c>
      <c r="V31" s="34">
        <f t="shared" si="14"/>
        <v>0</v>
      </c>
      <c r="W31" s="35">
        <f>IF(BC31="",1,VLOOKUP(BC31,data!$C$3:$D$10,2,FALSE))*(1+BD31)</f>
        <v>1</v>
      </c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38"/>
      <c r="BD31" s="44"/>
      <c r="BE31" s="44"/>
      <c r="BF31" s="43">
        <f t="shared" si="15"/>
        <v>0</v>
      </c>
      <c r="BG31" s="43">
        <f t="shared" si="16"/>
        <v>0</v>
      </c>
      <c r="BH31" s="43">
        <f t="shared" si="17"/>
        <v>0</v>
      </c>
      <c r="BI31" s="43">
        <f t="shared" si="18"/>
        <v>0</v>
      </c>
      <c r="BJ31" s="43">
        <f t="shared" si="19"/>
        <v>0</v>
      </c>
      <c r="BL31" s="45">
        <f t="shared" si="20"/>
        <v>0</v>
      </c>
      <c r="BM31" s="45">
        <f t="shared" si="21"/>
        <v>0</v>
      </c>
      <c r="BN31" s="45">
        <f t="shared" si="22"/>
        <v>0</v>
      </c>
      <c r="BO31" s="45">
        <f t="shared" si="23"/>
        <v>0</v>
      </c>
      <c r="BP31" s="45">
        <f t="shared" si="24"/>
        <v>0</v>
      </c>
      <c r="BQ31" s="45">
        <f t="shared" si="25"/>
        <v>0</v>
      </c>
    </row>
    <row r="32" spans="1:69" ht="12.75" customHeight="1">
      <c r="A32" s="38"/>
      <c r="B32" s="39"/>
      <c r="C32" s="40"/>
      <c r="D32" s="41"/>
      <c r="E32" s="42">
        <f t="shared" si="26"/>
      </c>
      <c r="F32" s="42">
        <f t="shared" si="27"/>
      </c>
      <c r="G32" s="136"/>
      <c r="H32" s="43">
        <f>IF($C$7="",SUMIF(time100,D32,data!$K$16:$K$21),SUMIF(packs,$C$7,data!$K$10:$K$12))</f>
        <v>0</v>
      </c>
      <c r="I32" s="91">
        <f t="shared" si="2"/>
        <v>0</v>
      </c>
      <c r="J32" s="43">
        <f t="shared" si="1"/>
        <v>0</v>
      </c>
      <c r="K32" s="33" t="b">
        <f t="shared" si="3"/>
        <v>0</v>
      </c>
      <c r="L32" s="34">
        <f t="shared" si="4"/>
        <v>0</v>
      </c>
      <c r="M32" s="33" t="b">
        <f t="shared" si="5"/>
        <v>0</v>
      </c>
      <c r="N32" s="34">
        <f t="shared" si="6"/>
        <v>0</v>
      </c>
      <c r="O32" s="33" t="b">
        <f t="shared" si="7"/>
        <v>0</v>
      </c>
      <c r="P32" s="34">
        <f t="shared" si="8"/>
        <v>0</v>
      </c>
      <c r="Q32" s="33" t="b">
        <f t="shared" si="9"/>
        <v>0</v>
      </c>
      <c r="R32" s="34">
        <f t="shared" si="10"/>
        <v>0</v>
      </c>
      <c r="S32" s="33" t="b">
        <f t="shared" si="11"/>
        <v>0</v>
      </c>
      <c r="T32" s="34">
        <f t="shared" si="12"/>
        <v>0</v>
      </c>
      <c r="U32" s="33" t="b">
        <f t="shared" si="13"/>
        <v>0</v>
      </c>
      <c r="V32" s="34">
        <f t="shared" si="14"/>
        <v>0</v>
      </c>
      <c r="W32" s="35">
        <f>IF(BC32="",1,VLOOKUP(BC32,data!$C$3:$D$10,2,FALSE))*(1+BD32)</f>
        <v>1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38"/>
      <c r="BD32" s="44"/>
      <c r="BE32" s="44"/>
      <c r="BF32" s="43">
        <f t="shared" si="15"/>
        <v>0</v>
      </c>
      <c r="BG32" s="43">
        <f t="shared" si="16"/>
        <v>0</v>
      </c>
      <c r="BH32" s="43">
        <f t="shared" si="17"/>
        <v>0</v>
      </c>
      <c r="BI32" s="43">
        <f t="shared" si="18"/>
        <v>0</v>
      </c>
      <c r="BJ32" s="43">
        <f t="shared" si="19"/>
        <v>0</v>
      </c>
      <c r="BL32" s="45">
        <f t="shared" si="20"/>
        <v>0</v>
      </c>
      <c r="BM32" s="45">
        <f t="shared" si="21"/>
        <v>0</v>
      </c>
      <c r="BN32" s="45">
        <f t="shared" si="22"/>
        <v>0</v>
      </c>
      <c r="BO32" s="45">
        <f t="shared" si="23"/>
        <v>0</v>
      </c>
      <c r="BP32" s="45">
        <f t="shared" si="24"/>
        <v>0</v>
      </c>
      <c r="BQ32" s="45">
        <f t="shared" si="25"/>
        <v>0</v>
      </c>
    </row>
    <row r="33" spans="1:69" ht="12.75" customHeight="1">
      <c r="A33" s="38"/>
      <c r="B33" s="39"/>
      <c r="C33" s="40"/>
      <c r="D33" s="41"/>
      <c r="E33" s="42">
        <f t="shared" si="26"/>
      </c>
      <c r="F33" s="42">
        <f t="shared" si="27"/>
      </c>
      <c r="G33" s="136"/>
      <c r="H33" s="43">
        <f>IF($C$7="",SUMIF(time100,D33,data!$K$16:$K$21),SUMIF(packs,$C$7,data!$K$10:$K$12))</f>
        <v>0</v>
      </c>
      <c r="I33" s="91">
        <f t="shared" si="2"/>
        <v>0</v>
      </c>
      <c r="J33" s="43">
        <f t="shared" si="1"/>
        <v>0</v>
      </c>
      <c r="K33" s="33" t="b">
        <f t="shared" si="3"/>
        <v>0</v>
      </c>
      <c r="L33" s="34">
        <f t="shared" si="4"/>
        <v>0</v>
      </c>
      <c r="M33" s="33" t="b">
        <f t="shared" si="5"/>
        <v>0</v>
      </c>
      <c r="N33" s="34">
        <f t="shared" si="6"/>
        <v>0</v>
      </c>
      <c r="O33" s="33" t="b">
        <f t="shared" si="7"/>
        <v>0</v>
      </c>
      <c r="P33" s="34">
        <f t="shared" si="8"/>
        <v>0</v>
      </c>
      <c r="Q33" s="33" t="b">
        <f t="shared" si="9"/>
        <v>0</v>
      </c>
      <c r="R33" s="34">
        <f t="shared" si="10"/>
        <v>0</v>
      </c>
      <c r="S33" s="33" t="b">
        <f t="shared" si="11"/>
        <v>0</v>
      </c>
      <c r="T33" s="34">
        <f t="shared" si="12"/>
        <v>0</v>
      </c>
      <c r="U33" s="33" t="b">
        <f t="shared" si="13"/>
        <v>0</v>
      </c>
      <c r="V33" s="34">
        <f t="shared" si="14"/>
        <v>0</v>
      </c>
      <c r="W33" s="35">
        <f>IF(BC33="",1,VLOOKUP(BC33,data!$C$3:$D$10,2,FALSE))*(1+BD33)</f>
        <v>1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38"/>
      <c r="BD33" s="44"/>
      <c r="BE33" s="44"/>
      <c r="BF33" s="43">
        <f t="shared" si="15"/>
        <v>0</v>
      </c>
      <c r="BG33" s="43">
        <f t="shared" si="16"/>
        <v>0</v>
      </c>
      <c r="BH33" s="43">
        <f t="shared" si="17"/>
        <v>0</v>
      </c>
      <c r="BI33" s="43">
        <f t="shared" si="18"/>
        <v>0</v>
      </c>
      <c r="BJ33" s="43">
        <f t="shared" si="19"/>
        <v>0</v>
      </c>
      <c r="BL33" s="45">
        <f t="shared" si="20"/>
        <v>0</v>
      </c>
      <c r="BM33" s="45">
        <f t="shared" si="21"/>
        <v>0</v>
      </c>
      <c r="BN33" s="45">
        <f t="shared" si="22"/>
        <v>0</v>
      </c>
      <c r="BO33" s="45">
        <f t="shared" si="23"/>
        <v>0</v>
      </c>
      <c r="BP33" s="45">
        <f t="shared" si="24"/>
        <v>0</v>
      </c>
      <c r="BQ33" s="45">
        <f t="shared" si="25"/>
        <v>0</v>
      </c>
    </row>
    <row r="34" spans="1:69" ht="12.75" customHeight="1">
      <c r="A34" s="38"/>
      <c r="B34" s="39"/>
      <c r="C34" s="40"/>
      <c r="D34" s="41"/>
      <c r="E34" s="42">
        <f t="shared" si="26"/>
      </c>
      <c r="F34" s="42">
        <f t="shared" si="27"/>
      </c>
      <c r="G34" s="136"/>
      <c r="H34" s="43">
        <f>IF($C$7="",SUMIF(time100,D34,data!$K$16:$K$21),SUMIF(packs,$C$7,data!$K$10:$K$12))</f>
        <v>0</v>
      </c>
      <c r="I34" s="91">
        <f t="shared" si="2"/>
        <v>0</v>
      </c>
      <c r="J34" s="43">
        <f t="shared" si="1"/>
        <v>0</v>
      </c>
      <c r="K34" s="33" t="b">
        <f t="shared" si="3"/>
        <v>0</v>
      </c>
      <c r="L34" s="34">
        <f t="shared" si="4"/>
        <v>0</v>
      </c>
      <c r="M34" s="33" t="b">
        <f t="shared" si="5"/>
        <v>0</v>
      </c>
      <c r="N34" s="34">
        <f t="shared" si="6"/>
        <v>0</v>
      </c>
      <c r="O34" s="33" t="b">
        <f t="shared" si="7"/>
        <v>0</v>
      </c>
      <c r="P34" s="34">
        <f t="shared" si="8"/>
        <v>0</v>
      </c>
      <c r="Q34" s="33" t="b">
        <f t="shared" si="9"/>
        <v>0</v>
      </c>
      <c r="R34" s="34">
        <f t="shared" si="10"/>
        <v>0</v>
      </c>
      <c r="S34" s="33" t="b">
        <f t="shared" si="11"/>
        <v>0</v>
      </c>
      <c r="T34" s="34">
        <f t="shared" si="12"/>
        <v>0</v>
      </c>
      <c r="U34" s="33" t="b">
        <f t="shared" si="13"/>
        <v>0</v>
      </c>
      <c r="V34" s="34">
        <f t="shared" si="14"/>
        <v>0</v>
      </c>
      <c r="W34" s="35">
        <f>IF(BC34="",1,VLOOKUP(BC34,data!$C$3:$D$10,2,FALSE))*(1+BD34)</f>
        <v>1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38"/>
      <c r="BD34" s="44"/>
      <c r="BE34" s="44"/>
      <c r="BF34" s="43">
        <f t="shared" si="15"/>
        <v>0</v>
      </c>
      <c r="BG34" s="43">
        <f t="shared" si="16"/>
        <v>0</v>
      </c>
      <c r="BH34" s="43">
        <f t="shared" si="17"/>
        <v>0</v>
      </c>
      <c r="BI34" s="43">
        <f t="shared" si="18"/>
        <v>0</v>
      </c>
      <c r="BJ34" s="43">
        <f t="shared" si="19"/>
        <v>0</v>
      </c>
      <c r="BL34" s="45">
        <f t="shared" si="20"/>
        <v>0</v>
      </c>
      <c r="BM34" s="45">
        <f t="shared" si="21"/>
        <v>0</v>
      </c>
      <c r="BN34" s="45">
        <f t="shared" si="22"/>
        <v>0</v>
      </c>
      <c r="BO34" s="45">
        <f t="shared" si="23"/>
        <v>0</v>
      </c>
      <c r="BP34" s="45">
        <f t="shared" si="24"/>
        <v>0</v>
      </c>
      <c r="BQ34" s="45">
        <f t="shared" si="25"/>
        <v>0</v>
      </c>
    </row>
    <row r="35" spans="1:69" ht="12.75" customHeight="1">
      <c r="A35" s="38"/>
      <c r="B35" s="39"/>
      <c r="C35" s="40"/>
      <c r="D35" s="41"/>
      <c r="E35" s="42">
        <f t="shared" si="26"/>
      </c>
      <c r="F35" s="42">
        <f t="shared" si="27"/>
      </c>
      <c r="G35" s="136"/>
      <c r="H35" s="43">
        <f>IF($C$7="",SUMIF(time100,D35,data!$K$16:$K$21),SUMIF(packs,$C$7,data!$K$10:$K$12))</f>
        <v>0</v>
      </c>
      <c r="I35" s="91">
        <f t="shared" si="2"/>
        <v>0</v>
      </c>
      <c r="J35" s="43">
        <f t="shared" si="1"/>
        <v>0</v>
      </c>
      <c r="K35" s="33" t="b">
        <f t="shared" si="3"/>
        <v>0</v>
      </c>
      <c r="L35" s="34">
        <f t="shared" si="4"/>
        <v>0</v>
      </c>
      <c r="M35" s="33" t="b">
        <f t="shared" si="5"/>
        <v>0</v>
      </c>
      <c r="N35" s="34">
        <f t="shared" si="6"/>
        <v>0</v>
      </c>
      <c r="O35" s="33" t="b">
        <f t="shared" si="7"/>
        <v>0</v>
      </c>
      <c r="P35" s="34">
        <f t="shared" si="8"/>
        <v>0</v>
      </c>
      <c r="Q35" s="33" t="b">
        <f t="shared" si="9"/>
        <v>0</v>
      </c>
      <c r="R35" s="34">
        <f t="shared" si="10"/>
        <v>0</v>
      </c>
      <c r="S35" s="33" t="b">
        <f t="shared" si="11"/>
        <v>0</v>
      </c>
      <c r="T35" s="34">
        <f t="shared" si="12"/>
        <v>0</v>
      </c>
      <c r="U35" s="33" t="b">
        <f t="shared" si="13"/>
        <v>0</v>
      </c>
      <c r="V35" s="34">
        <f t="shared" si="14"/>
        <v>0</v>
      </c>
      <c r="W35" s="35">
        <f>IF(BC35="",1,VLOOKUP(BC35,data!$C$3:$D$10,2,FALSE))*(1+BD35)</f>
        <v>1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38"/>
      <c r="BD35" s="44"/>
      <c r="BE35" s="44"/>
      <c r="BF35" s="43">
        <f t="shared" si="15"/>
        <v>0</v>
      </c>
      <c r="BG35" s="43">
        <f t="shared" si="16"/>
        <v>0</v>
      </c>
      <c r="BH35" s="43">
        <f t="shared" si="17"/>
        <v>0</v>
      </c>
      <c r="BI35" s="43">
        <f t="shared" si="18"/>
        <v>0</v>
      </c>
      <c r="BJ35" s="43">
        <f t="shared" si="19"/>
        <v>0</v>
      </c>
      <c r="BL35" s="45">
        <f t="shared" si="20"/>
        <v>0</v>
      </c>
      <c r="BM35" s="45">
        <f t="shared" si="21"/>
        <v>0</v>
      </c>
      <c r="BN35" s="45">
        <f t="shared" si="22"/>
        <v>0</v>
      </c>
      <c r="BO35" s="45">
        <f t="shared" si="23"/>
        <v>0</v>
      </c>
      <c r="BP35" s="45">
        <f t="shared" si="24"/>
        <v>0</v>
      </c>
      <c r="BQ35" s="45">
        <f t="shared" si="25"/>
        <v>0</v>
      </c>
    </row>
    <row r="36" spans="1:69" ht="12.75" customHeight="1">
      <c r="A36" s="38"/>
      <c r="B36" s="39"/>
      <c r="C36" s="40"/>
      <c r="D36" s="41"/>
      <c r="E36" s="42">
        <f t="shared" si="26"/>
      </c>
      <c r="F36" s="42">
        <f t="shared" si="27"/>
      </c>
      <c r="G36" s="136"/>
      <c r="H36" s="43">
        <f>IF($C$7="",SUMIF(time100,D36,data!$K$16:$K$21),SUMIF(packs,$C$7,data!$K$10:$K$12))</f>
        <v>0</v>
      </c>
      <c r="I36" s="91">
        <f t="shared" si="2"/>
        <v>0</v>
      </c>
      <c r="J36" s="43">
        <f t="shared" si="1"/>
        <v>0</v>
      </c>
      <c r="K36" s="33" t="b">
        <f t="shared" si="3"/>
        <v>0</v>
      </c>
      <c r="L36" s="34">
        <f t="shared" si="4"/>
        <v>0</v>
      </c>
      <c r="M36" s="33" t="b">
        <f t="shared" si="5"/>
        <v>0</v>
      </c>
      <c r="N36" s="34">
        <f t="shared" si="6"/>
        <v>0</v>
      </c>
      <c r="O36" s="33" t="b">
        <f t="shared" si="7"/>
        <v>0</v>
      </c>
      <c r="P36" s="34">
        <f t="shared" si="8"/>
        <v>0</v>
      </c>
      <c r="Q36" s="33" t="b">
        <f t="shared" si="9"/>
        <v>0</v>
      </c>
      <c r="R36" s="34">
        <f t="shared" si="10"/>
        <v>0</v>
      </c>
      <c r="S36" s="33" t="b">
        <f t="shared" si="11"/>
        <v>0</v>
      </c>
      <c r="T36" s="34">
        <f t="shared" si="12"/>
        <v>0</v>
      </c>
      <c r="U36" s="33" t="b">
        <f t="shared" si="13"/>
        <v>0</v>
      </c>
      <c r="V36" s="34">
        <f t="shared" si="14"/>
        <v>0</v>
      </c>
      <c r="W36" s="35">
        <f>IF(BC36="",1,VLOOKUP(BC36,data!$C$3:$D$10,2,FALSE))*(1+BD36)</f>
        <v>1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38"/>
      <c r="BD36" s="44"/>
      <c r="BE36" s="44"/>
      <c r="BF36" s="43">
        <f t="shared" si="15"/>
        <v>0</v>
      </c>
      <c r="BG36" s="43">
        <f t="shared" si="16"/>
        <v>0</v>
      </c>
      <c r="BH36" s="43">
        <f t="shared" si="17"/>
        <v>0</v>
      </c>
      <c r="BI36" s="43">
        <f t="shared" si="18"/>
        <v>0</v>
      </c>
      <c r="BJ36" s="43">
        <f t="shared" si="19"/>
        <v>0</v>
      </c>
      <c r="BL36" s="45">
        <f t="shared" si="20"/>
        <v>0</v>
      </c>
      <c r="BM36" s="45">
        <f t="shared" si="21"/>
        <v>0</v>
      </c>
      <c r="BN36" s="45">
        <f t="shared" si="22"/>
        <v>0</v>
      </c>
      <c r="BO36" s="45">
        <f t="shared" si="23"/>
        <v>0</v>
      </c>
      <c r="BP36" s="45">
        <f t="shared" si="24"/>
        <v>0</v>
      </c>
      <c r="BQ36" s="45">
        <f t="shared" si="25"/>
        <v>0</v>
      </c>
    </row>
    <row r="37" spans="1:69" ht="12.75" customHeight="1">
      <c r="A37" s="38"/>
      <c r="B37" s="39"/>
      <c r="C37" s="40"/>
      <c r="D37" s="41"/>
      <c r="E37" s="42">
        <f t="shared" si="26"/>
      </c>
      <c r="F37" s="42">
        <f t="shared" si="27"/>
      </c>
      <c r="G37" s="136"/>
      <c r="H37" s="43">
        <f>IF($C$7="",SUMIF(time100,D37,data!$K$16:$K$21),SUMIF(packs,$C$7,data!$K$10:$K$12))</f>
        <v>0</v>
      </c>
      <c r="I37" s="91">
        <f t="shared" si="2"/>
        <v>0</v>
      </c>
      <c r="J37" s="43">
        <f t="shared" si="1"/>
        <v>0</v>
      </c>
      <c r="K37" s="33" t="b">
        <f t="shared" si="3"/>
        <v>0</v>
      </c>
      <c r="L37" s="34">
        <f t="shared" si="4"/>
        <v>0</v>
      </c>
      <c r="M37" s="33" t="b">
        <f t="shared" si="5"/>
        <v>0</v>
      </c>
      <c r="N37" s="34">
        <f t="shared" si="6"/>
        <v>0</v>
      </c>
      <c r="O37" s="33" t="b">
        <f t="shared" si="7"/>
        <v>0</v>
      </c>
      <c r="P37" s="34">
        <f t="shared" si="8"/>
        <v>0</v>
      </c>
      <c r="Q37" s="33" t="b">
        <f t="shared" si="9"/>
        <v>0</v>
      </c>
      <c r="R37" s="34">
        <f t="shared" si="10"/>
        <v>0</v>
      </c>
      <c r="S37" s="33" t="b">
        <f t="shared" si="11"/>
        <v>0</v>
      </c>
      <c r="T37" s="34">
        <f t="shared" si="12"/>
        <v>0</v>
      </c>
      <c r="U37" s="33" t="b">
        <f t="shared" si="13"/>
        <v>0</v>
      </c>
      <c r="V37" s="34">
        <f t="shared" si="14"/>
        <v>0</v>
      </c>
      <c r="W37" s="35">
        <f>IF(BC37="",1,VLOOKUP(BC37,data!$C$3:$D$10,2,FALSE))*(1+BD37)</f>
        <v>1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38"/>
      <c r="BD37" s="44"/>
      <c r="BE37" s="44"/>
      <c r="BF37" s="43">
        <f t="shared" si="15"/>
        <v>0</v>
      </c>
      <c r="BG37" s="43">
        <f t="shared" si="16"/>
        <v>0</v>
      </c>
      <c r="BH37" s="43">
        <f t="shared" si="17"/>
        <v>0</v>
      </c>
      <c r="BI37" s="43">
        <f t="shared" si="18"/>
        <v>0</v>
      </c>
      <c r="BJ37" s="43">
        <f t="shared" si="19"/>
        <v>0</v>
      </c>
      <c r="BL37" s="45">
        <f t="shared" si="20"/>
        <v>0</v>
      </c>
      <c r="BM37" s="45">
        <f t="shared" si="21"/>
        <v>0</v>
      </c>
      <c r="BN37" s="45">
        <f t="shared" si="22"/>
        <v>0</v>
      </c>
      <c r="BO37" s="45">
        <f t="shared" si="23"/>
        <v>0</v>
      </c>
      <c r="BP37" s="45">
        <f t="shared" si="24"/>
        <v>0</v>
      </c>
      <c r="BQ37" s="45">
        <f t="shared" si="25"/>
        <v>0</v>
      </c>
    </row>
    <row r="38" spans="1:69" ht="12.75" customHeight="1">
      <c r="A38" s="38"/>
      <c r="B38" s="39"/>
      <c r="C38" s="40"/>
      <c r="D38" s="41"/>
      <c r="E38" s="42">
        <f t="shared" si="26"/>
      </c>
      <c r="F38" s="42">
        <f t="shared" si="27"/>
      </c>
      <c r="G38" s="136"/>
      <c r="H38" s="43">
        <f>IF($C$7="",SUMIF(time100,D38,data!$K$16:$K$21),SUMIF(packs,$C$7,data!$K$10:$K$12))</f>
        <v>0</v>
      </c>
      <c r="I38" s="91">
        <f t="shared" si="2"/>
        <v>0</v>
      </c>
      <c r="J38" s="43">
        <f t="shared" si="1"/>
        <v>0</v>
      </c>
      <c r="K38" s="33" t="b">
        <f t="shared" si="3"/>
        <v>0</v>
      </c>
      <c r="L38" s="34">
        <f t="shared" si="4"/>
        <v>0</v>
      </c>
      <c r="M38" s="33" t="b">
        <f t="shared" si="5"/>
        <v>0</v>
      </c>
      <c r="N38" s="34">
        <f t="shared" si="6"/>
        <v>0</v>
      </c>
      <c r="O38" s="33" t="b">
        <f t="shared" si="7"/>
        <v>0</v>
      </c>
      <c r="P38" s="34">
        <f t="shared" si="8"/>
        <v>0</v>
      </c>
      <c r="Q38" s="33" t="b">
        <f t="shared" si="9"/>
        <v>0</v>
      </c>
      <c r="R38" s="34">
        <f t="shared" si="10"/>
        <v>0</v>
      </c>
      <c r="S38" s="33" t="b">
        <f t="shared" si="11"/>
        <v>0</v>
      </c>
      <c r="T38" s="34">
        <f t="shared" si="12"/>
        <v>0</v>
      </c>
      <c r="U38" s="33" t="b">
        <f t="shared" si="13"/>
        <v>0</v>
      </c>
      <c r="V38" s="34">
        <f t="shared" si="14"/>
        <v>0</v>
      </c>
      <c r="W38" s="35">
        <f>IF(BC38="",1,VLOOKUP(BC38,data!$C$3:$D$10,2,FALSE))*(1+BD38)</f>
        <v>1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38"/>
      <c r="BD38" s="44"/>
      <c r="BE38" s="44"/>
      <c r="BF38" s="43">
        <f t="shared" si="15"/>
        <v>0</v>
      </c>
      <c r="BG38" s="43">
        <f t="shared" si="16"/>
        <v>0</v>
      </c>
      <c r="BH38" s="43">
        <f t="shared" si="17"/>
        <v>0</v>
      </c>
      <c r="BI38" s="43">
        <f t="shared" si="18"/>
        <v>0</v>
      </c>
      <c r="BJ38" s="43">
        <f t="shared" si="19"/>
        <v>0</v>
      </c>
      <c r="BL38" s="45">
        <f t="shared" si="20"/>
        <v>0</v>
      </c>
      <c r="BM38" s="45">
        <f t="shared" si="21"/>
        <v>0</v>
      </c>
      <c r="BN38" s="45">
        <f t="shared" si="22"/>
        <v>0</v>
      </c>
      <c r="BO38" s="45">
        <f t="shared" si="23"/>
        <v>0</v>
      </c>
      <c r="BP38" s="45">
        <f t="shared" si="24"/>
        <v>0</v>
      </c>
      <c r="BQ38" s="45">
        <f t="shared" si="25"/>
        <v>0</v>
      </c>
    </row>
    <row r="39" spans="1:69" ht="12.75" customHeight="1">
      <c r="A39" s="38"/>
      <c r="B39" s="39"/>
      <c r="C39" s="40"/>
      <c r="D39" s="41"/>
      <c r="E39" s="42">
        <f t="shared" si="26"/>
      </c>
      <c r="F39" s="42">
        <f t="shared" si="27"/>
      </c>
      <c r="G39" s="136"/>
      <c r="H39" s="43">
        <f>IF($C$7="",SUMIF(time100,D39,data!$K$16:$K$21),SUMIF(packs,$C$7,data!$K$10:$K$12))</f>
        <v>0</v>
      </c>
      <c r="I39" s="91">
        <f t="shared" si="2"/>
        <v>0</v>
      </c>
      <c r="J39" s="43">
        <f t="shared" si="1"/>
        <v>0</v>
      </c>
      <c r="K39" s="33" t="b">
        <f t="shared" si="3"/>
        <v>0</v>
      </c>
      <c r="L39" s="34">
        <f t="shared" si="4"/>
        <v>0</v>
      </c>
      <c r="M39" s="33" t="b">
        <f t="shared" si="5"/>
        <v>0</v>
      </c>
      <c r="N39" s="34">
        <f t="shared" si="6"/>
        <v>0</v>
      </c>
      <c r="O39" s="33" t="b">
        <f t="shared" si="7"/>
        <v>0</v>
      </c>
      <c r="P39" s="34">
        <f t="shared" si="8"/>
        <v>0</v>
      </c>
      <c r="Q39" s="33" t="b">
        <f t="shared" si="9"/>
        <v>0</v>
      </c>
      <c r="R39" s="34">
        <f t="shared" si="10"/>
        <v>0</v>
      </c>
      <c r="S39" s="33" t="b">
        <f t="shared" si="11"/>
        <v>0</v>
      </c>
      <c r="T39" s="34">
        <f t="shared" si="12"/>
        <v>0</v>
      </c>
      <c r="U39" s="33" t="b">
        <f t="shared" si="13"/>
        <v>0</v>
      </c>
      <c r="V39" s="34">
        <f t="shared" si="14"/>
        <v>0</v>
      </c>
      <c r="W39" s="35">
        <f>IF(BC39="",1,VLOOKUP(BC39,data!$C$3:$D$10,2,FALSE))*(1+BD39)</f>
        <v>1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38"/>
      <c r="BD39" s="44"/>
      <c r="BE39" s="44"/>
      <c r="BF39" s="43">
        <f t="shared" si="15"/>
        <v>0</v>
      </c>
      <c r="BG39" s="43">
        <f t="shared" si="16"/>
        <v>0</v>
      </c>
      <c r="BH39" s="43">
        <f t="shared" si="17"/>
        <v>0</v>
      </c>
      <c r="BI39" s="43">
        <f t="shared" si="18"/>
        <v>0</v>
      </c>
      <c r="BJ39" s="43">
        <f t="shared" si="19"/>
        <v>0</v>
      </c>
      <c r="BL39" s="45">
        <f t="shared" si="20"/>
        <v>0</v>
      </c>
      <c r="BM39" s="45">
        <f t="shared" si="21"/>
        <v>0</v>
      </c>
      <c r="BN39" s="45">
        <f t="shared" si="22"/>
        <v>0</v>
      </c>
      <c r="BO39" s="45">
        <f t="shared" si="23"/>
        <v>0</v>
      </c>
      <c r="BP39" s="45">
        <f t="shared" si="24"/>
        <v>0</v>
      </c>
      <c r="BQ39" s="45">
        <f t="shared" si="25"/>
        <v>0</v>
      </c>
    </row>
    <row r="40" spans="1:69" ht="12.75" customHeight="1">
      <c r="A40" s="38"/>
      <c r="B40" s="39"/>
      <c r="C40" s="40"/>
      <c r="D40" s="41"/>
      <c r="E40" s="42">
        <f t="shared" si="26"/>
      </c>
      <c r="F40" s="42">
        <f t="shared" si="27"/>
      </c>
      <c r="G40" s="136"/>
      <c r="H40" s="43">
        <f>IF($C$7="",SUMIF(time100,D40,data!$K$16:$K$21),SUMIF(packs,$C$7,data!$K$10:$K$12))</f>
        <v>0</v>
      </c>
      <c r="I40" s="91">
        <f t="shared" si="2"/>
        <v>0</v>
      </c>
      <c r="J40" s="43">
        <f t="shared" si="1"/>
        <v>0</v>
      </c>
      <c r="K40" s="33" t="b">
        <f t="shared" si="3"/>
        <v>0</v>
      </c>
      <c r="L40" s="34">
        <f t="shared" si="4"/>
        <v>0</v>
      </c>
      <c r="M40" s="33" t="b">
        <f t="shared" si="5"/>
        <v>0</v>
      </c>
      <c r="N40" s="34">
        <f t="shared" si="6"/>
        <v>0</v>
      </c>
      <c r="O40" s="33" t="b">
        <f t="shared" si="7"/>
        <v>0</v>
      </c>
      <c r="P40" s="34">
        <f t="shared" si="8"/>
        <v>0</v>
      </c>
      <c r="Q40" s="33" t="b">
        <f t="shared" si="9"/>
        <v>0</v>
      </c>
      <c r="R40" s="34">
        <f t="shared" si="10"/>
        <v>0</v>
      </c>
      <c r="S40" s="33" t="b">
        <f t="shared" si="11"/>
        <v>0</v>
      </c>
      <c r="T40" s="34">
        <f t="shared" si="12"/>
        <v>0</v>
      </c>
      <c r="U40" s="33" t="b">
        <f t="shared" si="13"/>
        <v>0</v>
      </c>
      <c r="V40" s="34">
        <f t="shared" si="14"/>
        <v>0</v>
      </c>
      <c r="W40" s="35">
        <f>IF(BC40="",1,VLOOKUP(BC40,data!$C$3:$D$10,2,FALSE))*(1+BD40)</f>
        <v>1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38"/>
      <c r="BD40" s="44"/>
      <c r="BE40" s="44"/>
      <c r="BF40" s="43">
        <f t="shared" si="15"/>
        <v>0</v>
      </c>
      <c r="BG40" s="43">
        <f t="shared" si="16"/>
        <v>0</v>
      </c>
      <c r="BH40" s="43">
        <f t="shared" si="17"/>
        <v>0</v>
      </c>
      <c r="BI40" s="43">
        <f t="shared" si="18"/>
        <v>0</v>
      </c>
      <c r="BJ40" s="43">
        <f t="shared" si="19"/>
        <v>0</v>
      </c>
      <c r="BL40" s="45">
        <f t="shared" si="20"/>
        <v>0</v>
      </c>
      <c r="BM40" s="45">
        <f t="shared" si="21"/>
        <v>0</v>
      </c>
      <c r="BN40" s="45">
        <f t="shared" si="22"/>
        <v>0</v>
      </c>
      <c r="BO40" s="45">
        <f t="shared" si="23"/>
        <v>0</v>
      </c>
      <c r="BP40" s="45">
        <f t="shared" si="24"/>
        <v>0</v>
      </c>
      <c r="BQ40" s="45">
        <f t="shared" si="25"/>
        <v>0</v>
      </c>
    </row>
    <row r="41" spans="1:69" ht="12.75" customHeight="1">
      <c r="A41" s="38"/>
      <c r="B41" s="39"/>
      <c r="C41" s="40"/>
      <c r="D41" s="41"/>
      <c r="E41" s="42">
        <f t="shared" si="26"/>
      </c>
      <c r="F41" s="42">
        <f t="shared" si="27"/>
      </c>
      <c r="G41" s="136"/>
      <c r="H41" s="43">
        <f>IF($C$7="",SUMIF(time100,D41,data!$K$16:$K$21),SUMIF(packs,$C$7,data!$K$10:$K$12))</f>
        <v>0</v>
      </c>
      <c r="I41" s="91">
        <f t="shared" si="2"/>
        <v>0</v>
      </c>
      <c r="J41" s="43">
        <f t="shared" si="1"/>
        <v>0</v>
      </c>
      <c r="K41" s="33" t="b">
        <f t="shared" si="3"/>
        <v>0</v>
      </c>
      <c r="L41" s="34">
        <f t="shared" si="4"/>
        <v>0</v>
      </c>
      <c r="M41" s="33" t="b">
        <f t="shared" si="5"/>
        <v>0</v>
      </c>
      <c r="N41" s="34">
        <f t="shared" si="6"/>
        <v>0</v>
      </c>
      <c r="O41" s="33" t="b">
        <f t="shared" si="7"/>
        <v>0</v>
      </c>
      <c r="P41" s="34">
        <f t="shared" si="8"/>
        <v>0</v>
      </c>
      <c r="Q41" s="33" t="b">
        <f t="shared" si="9"/>
        <v>0</v>
      </c>
      <c r="R41" s="34">
        <f t="shared" si="10"/>
        <v>0</v>
      </c>
      <c r="S41" s="33" t="b">
        <f t="shared" si="11"/>
        <v>0</v>
      </c>
      <c r="T41" s="34">
        <f t="shared" si="12"/>
        <v>0</v>
      </c>
      <c r="U41" s="33" t="b">
        <f t="shared" si="13"/>
        <v>0</v>
      </c>
      <c r="V41" s="34">
        <f t="shared" si="14"/>
        <v>0</v>
      </c>
      <c r="W41" s="35">
        <f>IF(BC41="",1,VLOOKUP(BC41,data!$C$3:$D$10,2,FALSE))*(1+BD41)</f>
        <v>1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38"/>
      <c r="BD41" s="44"/>
      <c r="BE41" s="44"/>
      <c r="BF41" s="43">
        <f t="shared" si="15"/>
        <v>0</v>
      </c>
      <c r="BG41" s="43">
        <f t="shared" si="16"/>
        <v>0</v>
      </c>
      <c r="BH41" s="43">
        <f t="shared" si="17"/>
        <v>0</v>
      </c>
      <c r="BI41" s="43">
        <f t="shared" si="18"/>
        <v>0</v>
      </c>
      <c r="BJ41" s="43">
        <f t="shared" si="19"/>
        <v>0</v>
      </c>
      <c r="BL41" s="45">
        <f t="shared" si="20"/>
        <v>0</v>
      </c>
      <c r="BM41" s="45">
        <f t="shared" si="21"/>
        <v>0</v>
      </c>
      <c r="BN41" s="45">
        <f t="shared" si="22"/>
        <v>0</v>
      </c>
      <c r="BO41" s="45">
        <f t="shared" si="23"/>
        <v>0</v>
      </c>
      <c r="BP41" s="45">
        <f t="shared" si="24"/>
        <v>0</v>
      </c>
      <c r="BQ41" s="45">
        <f t="shared" si="25"/>
        <v>0</v>
      </c>
    </row>
    <row r="42" spans="1:69" ht="12.75" customHeight="1">
      <c r="A42" s="38"/>
      <c r="B42" s="39"/>
      <c r="C42" s="40"/>
      <c r="D42" s="41"/>
      <c r="E42" s="42">
        <f t="shared" si="26"/>
      </c>
      <c r="F42" s="42">
        <f t="shared" si="27"/>
      </c>
      <c r="G42" s="136"/>
      <c r="H42" s="43">
        <f>IF($C$7="",SUMIF(time100,D42,data!$K$16:$K$21),SUMIF(packs,$C$7,data!$K$10:$K$12))</f>
        <v>0</v>
      </c>
      <c r="I42" s="91">
        <f t="shared" si="2"/>
        <v>0</v>
      </c>
      <c r="J42" s="43">
        <f t="shared" si="1"/>
        <v>0</v>
      </c>
      <c r="K42" s="33" t="b">
        <f t="shared" si="3"/>
        <v>0</v>
      </c>
      <c r="L42" s="34">
        <f t="shared" si="4"/>
        <v>0</v>
      </c>
      <c r="M42" s="33" t="b">
        <f t="shared" si="5"/>
        <v>0</v>
      </c>
      <c r="N42" s="34">
        <f t="shared" si="6"/>
        <v>0</v>
      </c>
      <c r="O42" s="33" t="b">
        <f t="shared" si="7"/>
        <v>0</v>
      </c>
      <c r="P42" s="34">
        <f t="shared" si="8"/>
        <v>0</v>
      </c>
      <c r="Q42" s="33" t="b">
        <f t="shared" si="9"/>
        <v>0</v>
      </c>
      <c r="R42" s="34">
        <f t="shared" si="10"/>
        <v>0</v>
      </c>
      <c r="S42" s="33" t="b">
        <f t="shared" si="11"/>
        <v>0</v>
      </c>
      <c r="T42" s="34">
        <f t="shared" si="12"/>
        <v>0</v>
      </c>
      <c r="U42" s="33" t="b">
        <f t="shared" si="13"/>
        <v>0</v>
      </c>
      <c r="V42" s="34">
        <f t="shared" si="14"/>
        <v>0</v>
      </c>
      <c r="W42" s="35">
        <f>IF(BC42="",1,VLOOKUP(BC42,data!$C$3:$D$10,2,FALSE))*(1+BD42)</f>
        <v>1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38"/>
      <c r="BD42" s="44"/>
      <c r="BE42" s="44"/>
      <c r="BF42" s="43">
        <f t="shared" si="15"/>
        <v>0</v>
      </c>
      <c r="BG42" s="43">
        <f t="shared" si="16"/>
        <v>0</v>
      </c>
      <c r="BH42" s="43">
        <f t="shared" si="17"/>
        <v>0</v>
      </c>
      <c r="BI42" s="43">
        <f t="shared" si="18"/>
        <v>0</v>
      </c>
      <c r="BJ42" s="43">
        <f t="shared" si="19"/>
        <v>0</v>
      </c>
      <c r="BL42" s="45">
        <f t="shared" si="20"/>
        <v>0</v>
      </c>
      <c r="BM42" s="45">
        <f t="shared" si="21"/>
        <v>0</v>
      </c>
      <c r="BN42" s="45">
        <f t="shared" si="22"/>
        <v>0</v>
      </c>
      <c r="BO42" s="45">
        <f t="shared" si="23"/>
        <v>0</v>
      </c>
      <c r="BP42" s="45">
        <f t="shared" si="24"/>
        <v>0</v>
      </c>
      <c r="BQ42" s="45">
        <f t="shared" si="25"/>
        <v>0</v>
      </c>
    </row>
    <row r="43" spans="1:69" ht="12.75" customHeight="1">
      <c r="A43" s="38"/>
      <c r="B43" s="39"/>
      <c r="C43" s="40"/>
      <c r="D43" s="41"/>
      <c r="E43" s="42">
        <f t="shared" si="26"/>
      </c>
      <c r="F43" s="42">
        <f t="shared" si="27"/>
      </c>
      <c r="G43" s="136"/>
      <c r="H43" s="43">
        <f>IF($C$7="",SUMIF(time100,D43,data!$K$16:$K$21),SUMIF(packs,$C$7,data!$K$10:$K$12))</f>
        <v>0</v>
      </c>
      <c r="I43" s="91">
        <f t="shared" si="2"/>
        <v>0</v>
      </c>
      <c r="J43" s="43">
        <f t="shared" si="1"/>
        <v>0</v>
      </c>
      <c r="K43" s="33" t="b">
        <f t="shared" si="3"/>
        <v>0</v>
      </c>
      <c r="L43" s="34">
        <f t="shared" si="4"/>
        <v>0</v>
      </c>
      <c r="M43" s="33" t="b">
        <f t="shared" si="5"/>
        <v>0</v>
      </c>
      <c r="N43" s="34">
        <f t="shared" si="6"/>
        <v>0</v>
      </c>
      <c r="O43" s="33" t="b">
        <f t="shared" si="7"/>
        <v>0</v>
      </c>
      <c r="P43" s="34">
        <f t="shared" si="8"/>
        <v>0</v>
      </c>
      <c r="Q43" s="33" t="b">
        <f t="shared" si="9"/>
        <v>0</v>
      </c>
      <c r="R43" s="34">
        <f t="shared" si="10"/>
        <v>0</v>
      </c>
      <c r="S43" s="33" t="b">
        <f t="shared" si="11"/>
        <v>0</v>
      </c>
      <c r="T43" s="34">
        <f t="shared" si="12"/>
        <v>0</v>
      </c>
      <c r="U43" s="33" t="b">
        <f t="shared" si="13"/>
        <v>0</v>
      </c>
      <c r="V43" s="34">
        <f t="shared" si="14"/>
        <v>0</v>
      </c>
      <c r="W43" s="35">
        <f>IF(BC43="",1,VLOOKUP(BC43,data!$C$3:$D$10,2,FALSE))*(1+BD43)</f>
        <v>1</v>
      </c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38"/>
      <c r="BD43" s="44"/>
      <c r="BE43" s="44"/>
      <c r="BF43" s="43">
        <f t="shared" si="15"/>
        <v>0</v>
      </c>
      <c r="BG43" s="43">
        <f t="shared" si="16"/>
        <v>0</v>
      </c>
      <c r="BH43" s="43">
        <f t="shared" si="17"/>
        <v>0</v>
      </c>
      <c r="BI43" s="43">
        <f t="shared" si="18"/>
        <v>0</v>
      </c>
      <c r="BJ43" s="43">
        <f t="shared" si="19"/>
        <v>0</v>
      </c>
      <c r="BL43" s="45">
        <f t="shared" si="20"/>
        <v>0</v>
      </c>
      <c r="BM43" s="45">
        <f t="shared" si="21"/>
        <v>0</v>
      </c>
      <c r="BN43" s="45">
        <f t="shared" si="22"/>
        <v>0</v>
      </c>
      <c r="BO43" s="45">
        <f t="shared" si="23"/>
        <v>0</v>
      </c>
      <c r="BP43" s="45">
        <f t="shared" si="24"/>
        <v>0</v>
      </c>
      <c r="BQ43" s="45">
        <f t="shared" si="25"/>
        <v>0</v>
      </c>
    </row>
    <row r="44" spans="1:69" ht="12.75" customHeight="1">
      <c r="A44" s="38"/>
      <c r="B44" s="39"/>
      <c r="C44" s="40"/>
      <c r="D44" s="41"/>
      <c r="E44" s="42">
        <f t="shared" si="26"/>
      </c>
      <c r="F44" s="42">
        <f t="shared" si="27"/>
      </c>
      <c r="G44" s="136"/>
      <c r="H44" s="43">
        <f>IF($C$7="",SUMIF(time100,D44,data!$K$16:$K$21),SUMIF(packs,$C$7,data!$K$10:$K$12))</f>
        <v>0</v>
      </c>
      <c r="I44" s="91">
        <f t="shared" si="2"/>
        <v>0</v>
      </c>
      <c r="J44" s="43">
        <f t="shared" si="1"/>
        <v>0</v>
      </c>
      <c r="K44" s="33" t="b">
        <f t="shared" si="3"/>
        <v>0</v>
      </c>
      <c r="L44" s="34">
        <f t="shared" si="4"/>
        <v>0</v>
      </c>
      <c r="M44" s="33" t="b">
        <f t="shared" si="5"/>
        <v>0</v>
      </c>
      <c r="N44" s="34">
        <f t="shared" si="6"/>
        <v>0</v>
      </c>
      <c r="O44" s="33" t="b">
        <f t="shared" si="7"/>
        <v>0</v>
      </c>
      <c r="P44" s="34">
        <f t="shared" si="8"/>
        <v>0</v>
      </c>
      <c r="Q44" s="33" t="b">
        <f t="shared" si="9"/>
        <v>0</v>
      </c>
      <c r="R44" s="34">
        <f t="shared" si="10"/>
        <v>0</v>
      </c>
      <c r="S44" s="33" t="b">
        <f t="shared" si="11"/>
        <v>0</v>
      </c>
      <c r="T44" s="34">
        <f t="shared" si="12"/>
        <v>0</v>
      </c>
      <c r="U44" s="33" t="b">
        <f t="shared" si="13"/>
        <v>0</v>
      </c>
      <c r="V44" s="34">
        <f t="shared" si="14"/>
        <v>0</v>
      </c>
      <c r="W44" s="35">
        <f>IF(BC44="",1,VLOOKUP(BC44,data!$C$3:$D$10,2,FALSE))*(1+BD44)</f>
        <v>1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38"/>
      <c r="BD44" s="44"/>
      <c r="BE44" s="44"/>
      <c r="BF44" s="43">
        <f t="shared" si="15"/>
        <v>0</v>
      </c>
      <c r="BG44" s="43">
        <f t="shared" si="16"/>
        <v>0</v>
      </c>
      <c r="BH44" s="43">
        <f t="shared" si="17"/>
        <v>0</v>
      </c>
      <c r="BI44" s="43">
        <f t="shared" si="18"/>
        <v>0</v>
      </c>
      <c r="BJ44" s="43">
        <f t="shared" si="19"/>
        <v>0</v>
      </c>
      <c r="BL44" s="45">
        <f t="shared" si="20"/>
        <v>0</v>
      </c>
      <c r="BM44" s="45">
        <f t="shared" si="21"/>
        <v>0</v>
      </c>
      <c r="BN44" s="45">
        <f t="shared" si="22"/>
        <v>0</v>
      </c>
      <c r="BO44" s="45">
        <f t="shared" si="23"/>
        <v>0</v>
      </c>
      <c r="BP44" s="45">
        <f t="shared" si="24"/>
        <v>0</v>
      </c>
      <c r="BQ44" s="45">
        <f t="shared" si="25"/>
        <v>0</v>
      </c>
    </row>
    <row r="45" spans="1:69" ht="12.75" customHeight="1">
      <c r="A45" s="38"/>
      <c r="B45" s="39"/>
      <c r="C45" s="40"/>
      <c r="D45" s="41"/>
      <c r="E45" s="42">
        <f t="shared" si="26"/>
      </c>
      <c r="F45" s="42">
        <f t="shared" si="27"/>
      </c>
      <c r="G45" s="136"/>
      <c r="H45" s="43">
        <f>IF($C$7="",SUMIF(time100,D45,data!$K$16:$K$21),SUMIF(packs,$C$7,data!$K$10:$K$12))</f>
        <v>0</v>
      </c>
      <c r="I45" s="91">
        <f t="shared" si="2"/>
        <v>0</v>
      </c>
      <c r="J45" s="43">
        <f t="shared" si="1"/>
        <v>0</v>
      </c>
      <c r="K45" s="33" t="b">
        <f t="shared" si="3"/>
        <v>0</v>
      </c>
      <c r="L45" s="34">
        <f t="shared" si="4"/>
        <v>0</v>
      </c>
      <c r="M45" s="33" t="b">
        <f t="shared" si="5"/>
        <v>0</v>
      </c>
      <c r="N45" s="34">
        <f t="shared" si="6"/>
        <v>0</v>
      </c>
      <c r="O45" s="33" t="b">
        <f t="shared" si="7"/>
        <v>0</v>
      </c>
      <c r="P45" s="34">
        <f t="shared" si="8"/>
        <v>0</v>
      </c>
      <c r="Q45" s="33" t="b">
        <f t="shared" si="9"/>
        <v>0</v>
      </c>
      <c r="R45" s="34">
        <f t="shared" si="10"/>
        <v>0</v>
      </c>
      <c r="S45" s="33" t="b">
        <f t="shared" si="11"/>
        <v>0</v>
      </c>
      <c r="T45" s="34">
        <f t="shared" si="12"/>
        <v>0</v>
      </c>
      <c r="U45" s="33" t="b">
        <f t="shared" si="13"/>
        <v>0</v>
      </c>
      <c r="V45" s="34">
        <f t="shared" si="14"/>
        <v>0</v>
      </c>
      <c r="W45" s="35">
        <f>IF(BC45="",1,VLOOKUP(BC45,data!$C$3:$D$10,2,FALSE))*(1+BD45)</f>
        <v>1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38"/>
      <c r="BD45" s="44"/>
      <c r="BE45" s="44"/>
      <c r="BF45" s="43">
        <f t="shared" si="15"/>
        <v>0</v>
      </c>
      <c r="BG45" s="43">
        <f t="shared" si="16"/>
        <v>0</v>
      </c>
      <c r="BH45" s="43">
        <f t="shared" si="17"/>
        <v>0</v>
      </c>
      <c r="BI45" s="43">
        <f t="shared" si="18"/>
        <v>0</v>
      </c>
      <c r="BJ45" s="43">
        <f t="shared" si="19"/>
        <v>0</v>
      </c>
      <c r="BL45" s="45">
        <f t="shared" si="20"/>
        <v>0</v>
      </c>
      <c r="BM45" s="45">
        <f t="shared" si="21"/>
        <v>0</v>
      </c>
      <c r="BN45" s="45">
        <f t="shared" si="22"/>
        <v>0</v>
      </c>
      <c r="BO45" s="45">
        <f t="shared" si="23"/>
        <v>0</v>
      </c>
      <c r="BP45" s="45">
        <f t="shared" si="24"/>
        <v>0</v>
      </c>
      <c r="BQ45" s="45">
        <f t="shared" si="25"/>
        <v>0</v>
      </c>
    </row>
    <row r="46" spans="1:62" ht="12" customHeight="1">
      <c r="A46" s="46"/>
      <c r="B46" s="47"/>
      <c r="C46" s="47"/>
      <c r="D46" s="48"/>
      <c r="E46" s="48"/>
      <c r="F46" s="48"/>
      <c r="G46" s="49"/>
      <c r="H46" s="165" t="str">
        <f>IF($B$5="BG","Тотал:","Total:")</f>
        <v>Тотал:</v>
      </c>
      <c r="I46" s="165">
        <f>SUM(I16:I45)</f>
        <v>0</v>
      </c>
      <c r="J46" s="177">
        <f>SUM(J16:J45)</f>
        <v>0</v>
      </c>
      <c r="K46" s="160"/>
      <c r="L46" s="160">
        <f>SUM(L16:L45)</f>
        <v>0</v>
      </c>
      <c r="M46" s="160"/>
      <c r="N46" s="160">
        <f>SUM(N16:N45)</f>
        <v>0</v>
      </c>
      <c r="O46" s="160"/>
      <c r="P46" s="160">
        <f>SUM(P16:P45)</f>
        <v>0</v>
      </c>
      <c r="Q46" s="160"/>
      <c r="R46" s="160">
        <f>SUM(R16:R45)</f>
        <v>0</v>
      </c>
      <c r="S46" s="160"/>
      <c r="T46" s="160">
        <f>SUM(T16:T45)</f>
        <v>0</v>
      </c>
      <c r="U46" s="160"/>
      <c r="V46" s="160">
        <f>SUM(V16:V45)</f>
        <v>0</v>
      </c>
      <c r="W46" s="161"/>
      <c r="X46" s="162">
        <f>COUNTA(X16:X45)</f>
        <v>0</v>
      </c>
      <c r="Y46" s="162">
        <f aca="true" t="shared" si="28" ref="Y46:BB46">COUNTA(Y16:Y45)</f>
        <v>0</v>
      </c>
      <c r="Z46" s="162">
        <f t="shared" si="28"/>
        <v>0</v>
      </c>
      <c r="AA46" s="162">
        <f t="shared" si="28"/>
        <v>0</v>
      </c>
      <c r="AB46" s="162">
        <f t="shared" si="28"/>
        <v>0</v>
      </c>
      <c r="AC46" s="162">
        <f t="shared" si="28"/>
        <v>0</v>
      </c>
      <c r="AD46" s="162">
        <f>COUNTA(AD16:AD45)</f>
        <v>0</v>
      </c>
      <c r="AE46" s="162">
        <f>COUNTA(AE16:AE45)</f>
        <v>0</v>
      </c>
      <c r="AF46" s="162">
        <f t="shared" si="28"/>
        <v>0</v>
      </c>
      <c r="AG46" s="162">
        <f t="shared" si="28"/>
        <v>0</v>
      </c>
      <c r="AH46" s="162">
        <f>COUNTA(AH16:AH45)</f>
        <v>0</v>
      </c>
      <c r="AI46" s="162">
        <f>COUNTA(AI16:AI45)</f>
        <v>0</v>
      </c>
      <c r="AJ46" s="162">
        <f t="shared" si="28"/>
        <v>0</v>
      </c>
      <c r="AK46" s="162">
        <f t="shared" si="28"/>
        <v>0</v>
      </c>
      <c r="AL46" s="162">
        <f t="shared" si="28"/>
        <v>0</v>
      </c>
      <c r="AM46" s="162">
        <f t="shared" si="28"/>
        <v>0</v>
      </c>
      <c r="AN46" s="162">
        <f t="shared" si="28"/>
        <v>0</v>
      </c>
      <c r="AO46" s="162">
        <f t="shared" si="28"/>
        <v>0</v>
      </c>
      <c r="AP46" s="162">
        <f t="shared" si="28"/>
        <v>0</v>
      </c>
      <c r="AQ46" s="162">
        <f t="shared" si="28"/>
        <v>0</v>
      </c>
      <c r="AR46" s="162">
        <f t="shared" si="28"/>
        <v>0</v>
      </c>
      <c r="AS46" s="162">
        <f t="shared" si="28"/>
        <v>0</v>
      </c>
      <c r="AT46" s="162">
        <f t="shared" si="28"/>
        <v>0</v>
      </c>
      <c r="AU46" s="162">
        <f t="shared" si="28"/>
        <v>0</v>
      </c>
      <c r="AV46" s="162">
        <f t="shared" si="28"/>
        <v>0</v>
      </c>
      <c r="AW46" s="162">
        <f t="shared" si="28"/>
        <v>0</v>
      </c>
      <c r="AX46" s="162">
        <f t="shared" si="28"/>
        <v>0</v>
      </c>
      <c r="AY46" s="162">
        <f t="shared" si="28"/>
        <v>0</v>
      </c>
      <c r="AZ46" s="162">
        <f t="shared" si="28"/>
        <v>0</v>
      </c>
      <c r="BA46" s="162">
        <f t="shared" si="28"/>
        <v>0</v>
      </c>
      <c r="BB46" s="162">
        <f t="shared" si="28"/>
        <v>0</v>
      </c>
      <c r="BC46" s="163"/>
      <c r="BD46" s="47"/>
      <c r="BE46" s="50"/>
      <c r="BF46" s="50"/>
      <c r="BG46" s="165">
        <f>SUM(BG16:BG45)</f>
        <v>0</v>
      </c>
      <c r="BH46" s="165">
        <f>SUM(BH16:BH45)</f>
        <v>0</v>
      </c>
      <c r="BI46" s="165">
        <f>SUM(BI16:BI45)</f>
        <v>0</v>
      </c>
      <c r="BJ46" s="165">
        <f>SUM(BJ16:BJ45)</f>
        <v>0</v>
      </c>
    </row>
    <row r="47" spans="1:190" s="83" customFormat="1" ht="10.5" customHeight="1">
      <c r="A47" s="31"/>
      <c r="B47" s="31"/>
      <c r="C47" s="31"/>
      <c r="D47" s="31"/>
      <c r="E47" s="31"/>
      <c r="F47" s="31"/>
      <c r="G47" s="31"/>
      <c r="H47" s="295" t="str">
        <f>IF($B$5="BG","Бюджет по седмици","Budget per week")</f>
        <v>Бюджет по седмици</v>
      </c>
      <c r="I47" s="296"/>
      <c r="J47" s="296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1"/>
      <c r="X47" s="299">
        <f>SUM(BL16:BL45)</f>
        <v>0</v>
      </c>
      <c r="Y47" s="299"/>
      <c r="Z47" s="299"/>
      <c r="AA47" s="299"/>
      <c r="AB47" s="299"/>
      <c r="AC47" s="299"/>
      <c r="AD47" s="299">
        <f>SUM(BM16:BM45)</f>
        <v>0</v>
      </c>
      <c r="AE47" s="299"/>
      <c r="AF47" s="299"/>
      <c r="AG47" s="299"/>
      <c r="AH47" s="299"/>
      <c r="AI47" s="299"/>
      <c r="AJ47" s="299"/>
      <c r="AK47" s="299">
        <f>SUM(BN16:BN45)</f>
        <v>0</v>
      </c>
      <c r="AL47" s="299"/>
      <c r="AM47" s="299"/>
      <c r="AN47" s="299"/>
      <c r="AO47" s="299"/>
      <c r="AP47" s="299"/>
      <c r="AQ47" s="299"/>
      <c r="AR47" s="299">
        <f>SUM(BO16:BO45)</f>
        <v>0</v>
      </c>
      <c r="AS47" s="299"/>
      <c r="AT47" s="299"/>
      <c r="AU47" s="299"/>
      <c r="AV47" s="299"/>
      <c r="AW47" s="299"/>
      <c r="AX47" s="299"/>
      <c r="AY47" s="299">
        <f>SUM(BP16:BP45)</f>
        <v>0</v>
      </c>
      <c r="AZ47" s="299"/>
      <c r="BA47" s="299"/>
      <c r="BB47" s="299"/>
      <c r="BC47" s="164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</row>
    <row r="48" spans="1:190" s="83" customFormat="1" ht="10.5" customHeight="1">
      <c r="A48" s="31"/>
      <c r="B48" s="31"/>
      <c r="C48" s="31"/>
      <c r="D48" s="31"/>
      <c r="E48" s="31"/>
      <c r="F48" s="31"/>
      <c r="G48" s="31"/>
      <c r="H48" s="295" t="str">
        <f>IF($B$5="BG","Брой излъчвания по седмици","Number per week")</f>
        <v>Брой излъчвания по седмици</v>
      </c>
      <c r="I48" s="296"/>
      <c r="J48" s="296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1"/>
      <c r="X48" s="299">
        <f>SUM(X46:AC46)</f>
        <v>0</v>
      </c>
      <c r="Y48" s="299"/>
      <c r="Z48" s="299"/>
      <c r="AA48" s="299"/>
      <c r="AB48" s="299"/>
      <c r="AC48" s="299"/>
      <c r="AD48" s="299">
        <f>SUM(AD46:AJ46,)</f>
        <v>0</v>
      </c>
      <c r="AE48" s="299"/>
      <c r="AF48" s="299"/>
      <c r="AG48" s="299"/>
      <c r="AH48" s="299"/>
      <c r="AI48" s="299"/>
      <c r="AJ48" s="299"/>
      <c r="AK48" s="299">
        <f>SUM(AK46:AQ46)</f>
        <v>0</v>
      </c>
      <c r="AL48" s="299"/>
      <c r="AM48" s="299"/>
      <c r="AN48" s="299"/>
      <c r="AO48" s="299"/>
      <c r="AP48" s="299"/>
      <c r="AQ48" s="299"/>
      <c r="AR48" s="299">
        <f>SUM(AR46:AX46)</f>
        <v>0</v>
      </c>
      <c r="AS48" s="299"/>
      <c r="AT48" s="299"/>
      <c r="AU48" s="299"/>
      <c r="AV48" s="299"/>
      <c r="AW48" s="299"/>
      <c r="AX48" s="299"/>
      <c r="AY48" s="299">
        <f>SUM(AY46:BB46)</f>
        <v>0</v>
      </c>
      <c r="AZ48" s="299"/>
      <c r="BA48" s="299"/>
      <c r="BB48" s="299"/>
      <c r="BC48" s="164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</row>
    <row r="49" spans="1:190" s="83" customFormat="1" ht="10.5" customHeight="1">
      <c r="A49" s="31"/>
      <c r="B49" s="31"/>
      <c r="C49" s="31"/>
      <c r="D49" s="31"/>
      <c r="E49" s="31"/>
      <c r="F49" s="31"/>
      <c r="G49" s="31"/>
      <c r="H49" s="295" t="str">
        <f>IF($B$5="BG","Обща сума утежнения","Total surcharge")</f>
        <v>Обща сума утежнения</v>
      </c>
      <c r="I49" s="296"/>
      <c r="J49" s="296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297">
        <f>BJ46</f>
        <v>0</v>
      </c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164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</row>
    <row r="50" spans="1:10" ht="17.25" customHeight="1">
      <c r="A50" s="293" t="str">
        <f>IF($B$5="BG","Отстъпки","Discounts")</f>
        <v>Отстъпки</v>
      </c>
      <c r="B50" s="158" t="str">
        <f>IF($B$5="BG","Брутна сума","Gross budget")</f>
        <v>Брутна сума</v>
      </c>
      <c r="H50" s="51"/>
      <c r="I50" s="51"/>
      <c r="J50" s="51"/>
    </row>
    <row r="51" spans="1:55" ht="17.25" customHeight="1">
      <c r="A51" s="294"/>
      <c r="B51" s="177">
        <f>J46</f>
        <v>0</v>
      </c>
      <c r="C51" s="281" t="str">
        <f>IF($B$5="BG","Разпределение на бюджета по канали и PT/OPT","Budget Distribution by Channel and PT/OPT")</f>
        <v>Разпределение на бюджета по канали и PT/OPT</v>
      </c>
      <c r="D51" s="282"/>
      <c r="E51" s="282"/>
      <c r="F51" s="282"/>
      <c r="G51" s="282"/>
      <c r="H51" s="282"/>
      <c r="I51" s="283"/>
      <c r="M51" s="51"/>
      <c r="N51" s="51"/>
      <c r="O51" s="51"/>
      <c r="P51" s="51"/>
      <c r="Q51" s="51"/>
      <c r="R51" s="51"/>
      <c r="AZ51" s="51"/>
      <c r="BA51" s="51"/>
      <c r="BB51" s="51"/>
      <c r="BC51" s="51"/>
    </row>
    <row r="52" spans="1:55" ht="14.25" customHeight="1">
      <c r="A52" s="200" t="str">
        <f>IF($B$5="BG","Отстъпки","Discounts")</f>
        <v>Отстъпки</v>
      </c>
      <c r="B52" s="206"/>
      <c r="C52" s="284"/>
      <c r="D52" s="285"/>
      <c r="E52" s="285"/>
      <c r="F52" s="285"/>
      <c r="G52" s="285"/>
      <c r="H52" s="285"/>
      <c r="I52" s="286"/>
      <c r="M52" s="51"/>
      <c r="N52" s="51"/>
      <c r="O52" s="51"/>
      <c r="P52" s="51"/>
      <c r="Q52" s="51"/>
      <c r="R52" s="51"/>
      <c r="AZ52" s="51"/>
      <c r="BA52" s="51"/>
      <c r="BB52" s="51"/>
      <c r="BC52" s="51"/>
    </row>
    <row r="53" spans="1:55" ht="14.25" customHeight="1">
      <c r="A53" s="200" t="str">
        <f>IF($B$5="BG","Отстъпки","Discounts")</f>
        <v>Отстъпки</v>
      </c>
      <c r="B53" s="206"/>
      <c r="C53" s="298" t="str">
        <f>IF($B$5="BG","Канал","Channel")</f>
        <v>Канал</v>
      </c>
      <c r="D53" s="298" t="str">
        <f>IF($B$5="BG","Брутен бюджет","Gross budget")</f>
        <v>Брутен бюджет</v>
      </c>
      <c r="E53" s="298" t="str">
        <f>IF($B$5="BG","% от общия бюджет","Channel distribution %")</f>
        <v>% от общия бюджет</v>
      </c>
      <c r="F53" s="298" t="str">
        <f>IF($B$5="BG","Бюджет в ПТ","Budget in PT")</f>
        <v>Бюджет в ПТ</v>
      </c>
      <c r="G53" s="298" t="str">
        <f>IF($B$5="BG","Бюджет в ОПТ","Budget in OPT")</f>
        <v>Бюджет в ОПТ</v>
      </c>
      <c r="H53" s="298" t="s">
        <v>50</v>
      </c>
      <c r="I53" s="298" t="s">
        <v>51</v>
      </c>
      <c r="M53" s="51"/>
      <c r="N53" s="51"/>
      <c r="O53" s="51"/>
      <c r="P53" s="51"/>
      <c r="Q53" s="51"/>
      <c r="R53" s="51"/>
      <c r="AZ53" s="51"/>
      <c r="BA53" s="51"/>
      <c r="BB53" s="51"/>
      <c r="BC53" s="51"/>
    </row>
    <row r="54" spans="1:55" ht="14.25" customHeight="1">
      <c r="A54" s="204" t="str">
        <f>IF($B$5="BG","Общо отстъпки","Total Discounts")</f>
        <v>Общо отстъпки</v>
      </c>
      <c r="B54" s="207">
        <f>1-(1-B52)*(1-B53)</f>
        <v>0</v>
      </c>
      <c r="C54" s="298"/>
      <c r="D54" s="298"/>
      <c r="E54" s="298"/>
      <c r="F54" s="298"/>
      <c r="G54" s="298"/>
      <c r="H54" s="298"/>
      <c r="I54" s="298"/>
      <c r="M54" s="51"/>
      <c r="N54" s="51"/>
      <c r="O54" s="51"/>
      <c r="P54" s="51"/>
      <c r="Q54" s="51"/>
      <c r="R54" s="51"/>
      <c r="AZ54" s="51"/>
      <c r="BA54" s="51"/>
      <c r="BB54" s="51"/>
      <c r="BC54" s="51"/>
    </row>
    <row r="55" spans="1:55" ht="14.25" customHeight="1">
      <c r="A55" s="200" t="str">
        <f>IF($B$5="BG","Изработка на платен репортаж","Paid report Producement")</f>
        <v>Изработка на платен репортаж</v>
      </c>
      <c r="B55" s="208">
        <v>0</v>
      </c>
      <c r="C55" s="200" t="str">
        <f>IF($B$5="BG","БНТ1 фикс. цени","BNT -fixed price")</f>
        <v>БНТ1 фикс. цени</v>
      </c>
      <c r="D55" s="197">
        <f>БНТ1_fixed!B50</f>
        <v>0</v>
      </c>
      <c r="E55" s="211">
        <f>БНТ1_fixed!E54</f>
        <v>0</v>
      </c>
      <c r="F55" s="197">
        <f>БНТ1_fixed!F54</f>
        <v>0</v>
      </c>
      <c r="G55" s="197">
        <f>БНТ1_fixed!G54</f>
        <v>0</v>
      </c>
      <c r="H55" s="205">
        <f>БНТ1_fixed!H54</f>
        <v>0</v>
      </c>
      <c r="I55" s="205">
        <f>БНТ1_fixed!I54</f>
        <v>0</v>
      </c>
      <c r="M55" s="51"/>
      <c r="N55" s="51"/>
      <c r="O55" s="51"/>
      <c r="P55" s="51"/>
      <c r="Q55" s="51"/>
      <c r="R55" s="51"/>
      <c r="AZ55" s="51"/>
      <c r="BA55" s="51"/>
      <c r="BB55" s="51"/>
      <c r="BC55" s="51"/>
    </row>
    <row r="56" spans="1:55" ht="14.25" customHeight="1">
      <c r="A56" s="200" t="str">
        <f>IF($B$5="BG","Утежнения","Surcharge")</f>
        <v>Утежнения</v>
      </c>
      <c r="B56" s="208">
        <f>BH46</f>
        <v>0</v>
      </c>
      <c r="C56" s="200" t="str">
        <f>IF($B$5="BG","БНТ 2 фикс. цени","BNT 2 fixed")</f>
        <v>БНТ 2 фикс. цени</v>
      </c>
      <c r="D56" s="197">
        <f>'БНТ 2_fixed'!B42</f>
        <v>0</v>
      </c>
      <c r="E56" s="211">
        <f>'БНТ 2_fixed'!E47</f>
        <v>0</v>
      </c>
      <c r="F56" s="197">
        <f>'БНТ 2_fixed'!F47</f>
        <v>0</v>
      </c>
      <c r="G56" s="197">
        <f>'БНТ 2_fixed'!G47</f>
        <v>0</v>
      </c>
      <c r="H56" s="205">
        <f>'БНТ 2_fixed'!H47</f>
        <v>0</v>
      </c>
      <c r="I56" s="205">
        <f>'БНТ 2_fixed'!I47</f>
        <v>0</v>
      </c>
      <c r="M56" s="51"/>
      <c r="N56" s="51"/>
      <c r="O56" s="51"/>
      <c r="P56" s="51"/>
      <c r="Q56" s="51"/>
      <c r="R56" s="51"/>
      <c r="AZ56" s="51"/>
      <c r="BA56" s="51"/>
      <c r="BB56" s="51"/>
      <c r="BC56" s="51"/>
    </row>
    <row r="57" spans="1:55" ht="14.25" customHeight="1">
      <c r="A57" s="200" t="str">
        <f>IF($B$5="BG","Закъснение","Delay")</f>
        <v>Закъснение</v>
      </c>
      <c r="B57" s="208">
        <f>BI47</f>
        <v>0</v>
      </c>
      <c r="C57" s="200" t="str">
        <f>IF($B$5="BG","БНТ 3 фикс. цени","BNT 3 fixed")</f>
        <v>БНТ 3 фикс. цени</v>
      </c>
      <c r="D57" s="197">
        <f>B51</f>
        <v>0</v>
      </c>
      <c r="E57" s="211">
        <f>_xlfn.IFERROR(D57/$D$59,0)</f>
        <v>0</v>
      </c>
      <c r="F57" s="197">
        <f>_xlfn.IFERROR(SUMIF($F$16:$F$45,"PT",$J$16:$W$45),0)</f>
        <v>0</v>
      </c>
      <c r="G57" s="197">
        <f>_xlfn.IFERROR(SUMIF($F$16:$F$45,"OPT",$J$16:$W$45),0)</f>
        <v>0</v>
      </c>
      <c r="H57" s="205" t="str">
        <f>_xlfn.IFERROR(F57/J46,"0%")</f>
        <v>0%</v>
      </c>
      <c r="I57" s="205" t="str">
        <f>_xlfn.IFERROR(G57/J46,"0%")</f>
        <v>0%</v>
      </c>
      <c r="M57" s="51"/>
      <c r="N57" s="51"/>
      <c r="O57" s="51"/>
      <c r="P57" s="51"/>
      <c r="Q57" s="51"/>
      <c r="R57" s="51"/>
      <c r="AZ57" s="51"/>
      <c r="BA57" s="51"/>
      <c r="BB57" s="51"/>
      <c r="BC57" s="51"/>
    </row>
    <row r="58" spans="1:22" ht="14.25" customHeight="1">
      <c r="A58" s="204" t="str">
        <f>IF($B$5="BG","Нетна сума без ДДС","Net budget without VAT")</f>
        <v>Нетна сума без ДДС</v>
      </c>
      <c r="B58" s="209">
        <f>(B51*(100%-B52)*(100%-B53)+B55+B57)</f>
        <v>0</v>
      </c>
      <c r="C58" s="200" t="str">
        <f>IF($B$5="BG","БНТ 4 фикс. цени","BNT 4 fixed")</f>
        <v>БНТ 4 фикс. цени</v>
      </c>
      <c r="D58" s="197">
        <f>'БНТ 4_fixed'!B55</f>
        <v>0</v>
      </c>
      <c r="E58" s="211">
        <f>'БНТ 4_fixed'!E62</f>
        <v>0</v>
      </c>
      <c r="F58" s="197">
        <f>'БНТ 4_fixed'!F62</f>
        <v>0</v>
      </c>
      <c r="G58" s="197">
        <f>'БНТ 4_fixed'!G62</f>
        <v>0</v>
      </c>
      <c r="H58" s="205">
        <f>'БНТ 4_fixed'!H62</f>
        <v>0</v>
      </c>
      <c r="I58" s="205" t="str">
        <f>'БНТ 4_fixed'!I62</f>
        <v>0%</v>
      </c>
      <c r="M58" s="51"/>
      <c r="N58" s="51"/>
      <c r="O58" s="51"/>
      <c r="P58" s="51"/>
      <c r="Q58" s="51"/>
      <c r="R58" s="51"/>
      <c r="T58" s="51"/>
      <c r="U58" s="51"/>
      <c r="V58" s="51"/>
    </row>
    <row r="59" spans="1:22" ht="14.25" customHeight="1">
      <c r="A59" s="200" t="str">
        <f>IF($B$5="BG","ДДС","VAT")</f>
        <v>ДДС</v>
      </c>
      <c r="B59" s="210">
        <v>0.2</v>
      </c>
      <c r="C59" s="204" t="str">
        <f>IF($B$5="BG","Общо","Total")</f>
        <v>Общо</v>
      </c>
      <c r="D59" s="197">
        <f>SUM(D55:D58)</f>
        <v>0</v>
      </c>
      <c r="E59" s="211">
        <f>SUM(E55:E58)</f>
        <v>0</v>
      </c>
      <c r="F59" s="197">
        <f>SUM(F55:F58)</f>
        <v>0</v>
      </c>
      <c r="G59" s="197">
        <f>SUM(G55:G58)</f>
        <v>0</v>
      </c>
      <c r="H59" s="205">
        <f>IF(E59=0,"",(F59/D59))</f>
      </c>
      <c r="I59" s="205">
        <f>IF(E59=0,"",(G59/D59))</f>
      </c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4.25" customHeight="1">
      <c r="A60" s="204" t="str">
        <f>IF($B$5="BG","Нетна сума с ДДС","Net budget with VAT")</f>
        <v>Нетна сума с ДДС</v>
      </c>
      <c r="B60" s="209">
        <f>B58+(B58*B59)</f>
        <v>0</v>
      </c>
      <c r="G60" s="51"/>
      <c r="H60" s="51"/>
      <c r="I60" s="51"/>
      <c r="M60" s="51"/>
      <c r="N60" s="51"/>
      <c r="O60" s="51"/>
      <c r="P60" s="51"/>
      <c r="Q60" s="51"/>
      <c r="R60" s="51"/>
      <c r="S60" s="51"/>
      <c r="T60" s="51"/>
      <c r="U60" s="51"/>
      <c r="V60" s="52"/>
    </row>
    <row r="61" spans="1:23" ht="12.75" customHeight="1">
      <c r="A61" s="36"/>
      <c r="B61" s="53"/>
      <c r="G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1:23" ht="12.75" customHeight="1">
      <c r="A62" s="54" t="str">
        <f>IF($B$5="BG","Приел:","Executed by:")</f>
        <v>Приел:</v>
      </c>
      <c r="B62" s="125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1:2" ht="12.75" customHeight="1">
      <c r="A63" s="54"/>
      <c r="B63" s="125"/>
    </row>
    <row r="64" spans="1:2" ht="12.75" customHeight="1">
      <c r="A64" s="54"/>
      <c r="B64" s="125"/>
    </row>
    <row r="65" ht="12.75" customHeight="1">
      <c r="B65" s="125"/>
    </row>
    <row r="66" spans="1:2" ht="12.75" customHeight="1">
      <c r="A66" s="54" t="str">
        <f>IF($B$5="BG","Светла Цветкова:","Tsvetkova Svetla:")</f>
        <v>Светла Цветкова:</v>
      </c>
      <c r="B66" s="125"/>
    </row>
    <row r="67" spans="1:2" ht="12.75" customHeight="1">
      <c r="A67" s="54" t="str">
        <f>IF($B$5="BG","Трафик Експерт:","Traffik Expert:")</f>
        <v>Трафик Експерт:</v>
      </c>
      <c r="B67" s="125"/>
    </row>
    <row r="68" spans="1:5" ht="12.75" customHeight="1">
      <c r="A68" s="54"/>
      <c r="B68" s="125"/>
      <c r="E68" s="54" t="str">
        <f>IF($B$5="BG","Заявил:","Requested by:")</f>
        <v>Заявил:</v>
      </c>
    </row>
    <row r="69" spans="1:5" ht="13.5" customHeight="1">
      <c r="A69" s="54"/>
      <c r="B69" s="125"/>
      <c r="E69" s="54"/>
    </row>
    <row r="70" spans="2:5" ht="13.5" customHeight="1">
      <c r="B70" s="125"/>
      <c r="E70" s="54"/>
    </row>
    <row r="71" spans="1:2" ht="13.5" customHeight="1">
      <c r="A71" s="54" t="str">
        <f>IF($B$5="BG","Севда Димитрова:","Dimitrova Sevda:")</f>
        <v>Севда Димитрова:</v>
      </c>
      <c r="B71" s="125"/>
    </row>
    <row r="72" spans="1:2" ht="13.5" customHeight="1">
      <c r="A72" s="54" t="str">
        <f>IF($B$5="BG","и. д. Директор  Маркетинг и комуникации:","CEO Marketing and Communication:")</f>
        <v>и. д. Директор  Маркетинг и комуникации:</v>
      </c>
      <c r="B72" s="125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protectedRanges>
    <protectedRange sqref="A9" name="Range1"/>
    <protectedRange sqref="A10" name="Range1_1"/>
    <protectedRange sqref="A11" name="Range1_2"/>
    <protectedRange sqref="A12" name="Range1_3"/>
    <protectedRange sqref="A13" name="Range1_4"/>
    <protectedRange sqref="A14" name="Range1_5"/>
    <protectedRange sqref="E68:E70 A62:B70 C71:C78 B71:B72" name="Range7_1"/>
    <protectedRange sqref="A71" name="Range7_2"/>
    <protectedRange sqref="A72" name="Range7_1_1_1"/>
  </protectedRanges>
  <autoFilter ref="X15:BB15"/>
  <mergeCells count="53">
    <mergeCell ref="C12:D12"/>
    <mergeCell ref="C6:D6"/>
    <mergeCell ref="C7:D7"/>
    <mergeCell ref="C8:D8"/>
    <mergeCell ref="C9:D9"/>
    <mergeCell ref="C10:D10"/>
    <mergeCell ref="C11:D11"/>
    <mergeCell ref="X47:AC47"/>
    <mergeCell ref="AD47:AJ47"/>
    <mergeCell ref="AK47:AQ47"/>
    <mergeCell ref="AR47:AX47"/>
    <mergeCell ref="AY47:BB47"/>
    <mergeCell ref="X48:AC48"/>
    <mergeCell ref="AD48:AJ48"/>
    <mergeCell ref="AK48:AQ48"/>
    <mergeCell ref="AR48:AX48"/>
    <mergeCell ref="AY48:BB48"/>
    <mergeCell ref="C51:I52"/>
    <mergeCell ref="I53:I54"/>
    <mergeCell ref="C53:C54"/>
    <mergeCell ref="D53:D54"/>
    <mergeCell ref="E53:E54"/>
    <mergeCell ref="F53:F54"/>
    <mergeCell ref="G53:G54"/>
    <mergeCell ref="H53:H54"/>
    <mergeCell ref="X10:Z10"/>
    <mergeCell ref="X11:Z11"/>
    <mergeCell ref="H6:I6"/>
    <mergeCell ref="H7:I7"/>
    <mergeCell ref="H8:I8"/>
    <mergeCell ref="H9:I9"/>
    <mergeCell ref="H10:I10"/>
    <mergeCell ref="H11:I11"/>
    <mergeCell ref="E8:F8"/>
    <mergeCell ref="A50:A51"/>
    <mergeCell ref="E9:F9"/>
    <mergeCell ref="E10:F10"/>
    <mergeCell ref="H49:J49"/>
    <mergeCell ref="X12:Z12"/>
    <mergeCell ref="E11:F11"/>
    <mergeCell ref="X49:BB49"/>
    <mergeCell ref="H47:J47"/>
    <mergeCell ref="H48:J48"/>
    <mergeCell ref="X13:BB14"/>
    <mergeCell ref="A2:Z4"/>
    <mergeCell ref="E12:F12"/>
    <mergeCell ref="E6:F6"/>
    <mergeCell ref="E7:F7"/>
    <mergeCell ref="X6:Z6"/>
    <mergeCell ref="X7:Z7"/>
    <mergeCell ref="X8:Z8"/>
    <mergeCell ref="X9:Z9"/>
    <mergeCell ref="H12:I12"/>
  </mergeCells>
  <conditionalFormatting sqref="V60 A2">
    <cfRule type="cellIs" priority="32" dxfId="0" operator="equal" stopIfTrue="1">
      <formula>0</formula>
    </cfRule>
  </conditionalFormatting>
  <conditionalFormatting sqref="E68:E70">
    <cfRule type="cellIs" priority="16" dxfId="0" operator="equal" stopIfTrue="1">
      <formula>0</formula>
    </cfRule>
  </conditionalFormatting>
  <conditionalFormatting sqref="A62:A64 A66:A70">
    <cfRule type="cellIs" priority="18" dxfId="0" operator="equal" stopIfTrue="1">
      <formula>0</formula>
    </cfRule>
  </conditionalFormatting>
  <conditionalFormatting sqref="E7:F7">
    <cfRule type="cellIs" priority="14" dxfId="2" operator="equal" stopIfTrue="1">
      <formula>"A"</formula>
    </cfRule>
  </conditionalFormatting>
  <conditionalFormatting sqref="E8:F8">
    <cfRule type="cellIs" priority="13" dxfId="3" operator="equal" stopIfTrue="1">
      <formula>"B"</formula>
    </cfRule>
  </conditionalFormatting>
  <conditionalFormatting sqref="E9:F9">
    <cfRule type="cellIs" priority="12" dxfId="4" operator="equal" stopIfTrue="1">
      <formula>"C"</formula>
    </cfRule>
  </conditionalFormatting>
  <conditionalFormatting sqref="E10:F10">
    <cfRule type="cellIs" priority="11" dxfId="5" operator="equal" stopIfTrue="1">
      <formula>"D"</formula>
    </cfRule>
  </conditionalFormatting>
  <conditionalFormatting sqref="E11:F11">
    <cfRule type="cellIs" priority="10" dxfId="6" operator="equal" stopIfTrue="1">
      <formula>"E"</formula>
    </cfRule>
  </conditionalFormatting>
  <conditionalFormatting sqref="E12:F12">
    <cfRule type="cellIs" priority="9" dxfId="7" operator="equal" stopIfTrue="1">
      <formula>"F"</formula>
    </cfRule>
  </conditionalFormatting>
  <conditionalFormatting sqref="X16:BB45">
    <cfRule type="cellIs" priority="3" dxfId="7" operator="equal" stopIfTrue="1">
      <formula>"F"</formula>
    </cfRule>
    <cfRule type="cellIs" priority="4" dxfId="6" operator="equal" stopIfTrue="1">
      <formula>"E"</formula>
    </cfRule>
    <cfRule type="cellIs" priority="5" dxfId="5" operator="equal" stopIfTrue="1">
      <formula>"D"</formula>
    </cfRule>
    <cfRule type="cellIs" priority="6" dxfId="4" operator="equal" stopIfTrue="1">
      <formula>"C"</formula>
    </cfRule>
    <cfRule type="cellIs" priority="7" dxfId="3" operator="equal" stopIfTrue="1">
      <formula>"B"</formula>
    </cfRule>
    <cfRule type="cellIs" priority="8" dxfId="2" operator="equal" stopIfTrue="1">
      <formula>"A"</formula>
    </cfRule>
  </conditionalFormatting>
  <conditionalFormatting sqref="A71">
    <cfRule type="cellIs" priority="2" dxfId="0" operator="equal" stopIfTrue="1">
      <formula>0</formula>
    </cfRule>
  </conditionalFormatting>
  <conditionalFormatting sqref="A72">
    <cfRule type="cellIs" priority="1" dxfId="0" operator="equal" stopIfTrue="1">
      <formula>0</formula>
    </cfRule>
  </conditionalFormatting>
  <dataValidations count="12">
    <dataValidation type="list" allowBlank="1" showInputMessage="1" showErrorMessage="1" sqref="G16:G45">
      <formula1>reklama9</formula1>
    </dataValidation>
    <dataValidation type="list" allowBlank="1" showInputMessage="1" showErrorMessage="1" sqref="D16:D45">
      <formula1>time100</formula1>
    </dataValidation>
    <dataValidation type="list" allowBlank="1" showInputMessage="1" showErrorMessage="1" sqref="C16:C45">
      <formula1>HD</formula1>
    </dataValidation>
    <dataValidation type="list" showDropDown="1" showInputMessage="1" showErrorMessage="1" sqref="X16:BB45">
      <formula1>Codes2</formula1>
    </dataValidation>
    <dataValidation type="list" showInputMessage="1" showErrorMessage="1" sqref="BC16:BC45">
      <formula1>Positions2</formula1>
    </dataValidation>
    <dataValidation type="list" allowBlank="1" showInputMessage="1" showErrorMessage="1" sqref="G46">
      <formula1>Reklama</formula1>
    </dataValidation>
    <dataValidation showInputMessage="1" showErrorMessage="1" sqref="BI16:BJ45"/>
    <dataValidation type="list" showInputMessage="1" showErrorMessage="1" sqref="BD16:BE45">
      <formula1>percent1</formula1>
    </dataValidation>
    <dataValidation type="list" allowBlank="1" showInputMessage="1" showErrorMessage="1" sqref="G7:G12">
      <formula1>duration1</formula1>
    </dataValidation>
    <dataValidation allowBlank="1" showInputMessage="1" showErrorMessage="1" sqref="B53"/>
    <dataValidation type="list" allowBlank="1" showInputMessage="1" showErrorMessage="1" sqref="B5:B6">
      <formula1>$AE$6:$AE$7</formula1>
    </dataValidation>
    <dataValidation type="list" allowBlank="1" showInputMessage="1" showErrorMessage="1" sqref="X7:Z12">
      <formula1>"Да/Yes"</formula1>
    </dataValidation>
  </dataValidations>
  <printOptions/>
  <pageMargins left="0" right="0" top="0.4724409448818898" bottom="1.062992125984252" header="0.4330708661417323" footer="0.5118110236220472"/>
  <pageSetup fitToHeight="0" fitToWidth="1" horizontalDpi="600" verticalDpi="600" orientation="landscape" paperSize="9" scale="39" r:id="rId4"/>
  <ignoredErrors>
    <ignoredError sqref="F8 B8:B12 K8:W12 B13:H14 J7:J12 B26:B45 G25:G45 X25:X45 B16:B25 A7:A14 H6 E6 G6 J6:W6 X6 I49:J49 I47:J47 I48:J48 H47 H46:J46 H49 H48 A65:B67 B70:B72 A70 A62:B62 E68 H7 K17:V45 J13:W14 A15:X15 BC15:BJ15 BG46:BJ46 BL46:BP46 C53:I54 C51 BR17:BR45 X49:BB49 X47:X48 C76:C78 C71:C73 K16:V16 W16:W45 X13 C59 C55:C58 D26:D45 BR16 BQ16 BQ17:BQ45 BL16:BP16 BL17:BP45 AZ47:BB47 AS47:AX47 AL47:AQ47 AZ48:BB48 AS48:AX48 AL48:AQ48 AE48:AJ48 AE47:AJ47 AD48 AD47 AK47 AK48 AR48 AY48 AR47 AY47 A71:A72 B54 B58 A53:B53 B55:B56 B59:B60 A54:A60 B50:B51 A52:B52 A50:A51 A61:B61" unlockedFormula="1"/>
    <ignoredError sqref="E8 E9:F12 H8:H12 H16:H45 F20:F45 E20:E45 J16:J45 B57 Y46:BB46 X46" emptyCellReference="1" unlockedFormula="1"/>
    <ignoredError sqref="BI16:BI45" emptyCellReference="1"/>
    <ignoredError sqref="Y46:BB46" emptyCellReference="1" formulaRange="1" unlockedFormula="1"/>
    <ignoredError sqref="X46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Q85"/>
  <sheetViews>
    <sheetView showGridLines="0" zoomScale="85" zoomScaleNormal="85" workbookViewId="0" topLeftCell="A1">
      <selection activeCell="C11" sqref="C11:D11"/>
    </sheetView>
  </sheetViews>
  <sheetFormatPr defaultColWidth="9.140625" defaultRowHeight="12.75"/>
  <cols>
    <col min="1" max="1" width="36.7109375" style="20" customWidth="1"/>
    <col min="2" max="2" width="27.421875" style="20" customWidth="1"/>
    <col min="3" max="3" width="18.00390625" style="20" customWidth="1"/>
    <col min="4" max="4" width="14.140625" style="20" customWidth="1"/>
    <col min="5" max="5" width="12.8515625" style="20" customWidth="1"/>
    <col min="6" max="6" width="14.421875" style="20" customWidth="1"/>
    <col min="7" max="7" width="15.140625" style="20" customWidth="1"/>
    <col min="8" max="8" width="9.140625" style="20" customWidth="1"/>
    <col min="9" max="9" width="7.8515625" style="20" customWidth="1"/>
    <col min="10" max="10" width="11.8515625" style="20" customWidth="1"/>
    <col min="11" max="23" width="6.8515625" style="20" hidden="1" customWidth="1"/>
    <col min="24" max="53" width="3.8515625" style="20" customWidth="1"/>
    <col min="54" max="54" width="4.8515625" style="20" customWidth="1"/>
    <col min="55" max="55" width="15.57421875" style="20" customWidth="1"/>
    <col min="56" max="56" width="12.00390625" style="20" customWidth="1"/>
    <col min="57" max="57" width="11.421875" style="20" hidden="1" customWidth="1"/>
    <col min="58" max="58" width="12.57421875" style="20" customWidth="1"/>
    <col min="59" max="59" width="13.140625" style="20" customWidth="1"/>
    <col min="60" max="60" width="11.57421875" style="20" customWidth="1"/>
    <col min="61" max="61" width="11.421875" style="20" customWidth="1"/>
    <col min="62" max="62" width="10.8515625" style="20" customWidth="1"/>
    <col min="63" max="63" width="9.140625" style="20" hidden="1" customWidth="1"/>
    <col min="64" max="64" width="9.8515625" style="20" hidden="1" customWidth="1"/>
    <col min="65" max="65" width="12.8515625" style="20" hidden="1" customWidth="1"/>
    <col min="66" max="68" width="9.28125" style="20" hidden="1" customWidth="1"/>
    <col min="69" max="69" width="9.140625" style="20" hidden="1" customWidth="1"/>
    <col min="70" max="70" width="9.28125" style="20" customWidth="1"/>
    <col min="71" max="101" width="9.140625" style="20" customWidth="1"/>
    <col min="102" max="16384" width="9.140625" style="20" customWidth="1"/>
  </cols>
  <sheetData>
    <row r="1" ht="14.25"/>
    <row r="2" spans="1:26" ht="14.25" customHeight="1">
      <c r="A2" s="309" t="str">
        <f>IF($B$6="BG","месец ЯНУАРИ","DECEMBER")</f>
        <v>месец ЯНУАРИ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ht="14.2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62" ht="18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BD4" s="24"/>
      <c r="BE4" s="24"/>
      <c r="BF4" s="24"/>
      <c r="BG4" s="24"/>
      <c r="BH4" s="24"/>
      <c r="BI4" s="24"/>
      <c r="BJ4" s="24"/>
    </row>
    <row r="5" spans="1:61" ht="21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BC5" s="24"/>
      <c r="BD5" s="24"/>
      <c r="BE5" s="24"/>
      <c r="BF5" s="24"/>
      <c r="BG5" s="24"/>
      <c r="BH5" s="24"/>
      <c r="BI5" s="24"/>
    </row>
    <row r="6" spans="1:61" ht="17.25" customHeight="1">
      <c r="A6" s="168" t="s">
        <v>71</v>
      </c>
      <c r="B6" s="167" t="s">
        <v>73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E6"/>
      <c r="BC6" s="24"/>
      <c r="BD6" s="24"/>
      <c r="BE6" s="24"/>
      <c r="BF6" s="24"/>
      <c r="BG6" s="24"/>
      <c r="BH6" s="24"/>
      <c r="BI6" s="24"/>
    </row>
    <row r="7" spans="1:30" ht="29.25" customHeight="1">
      <c r="A7" s="166"/>
      <c r="B7" s="166"/>
      <c r="C7" s="310" t="str">
        <f>IF($B$6="BG","Име на клип","Name ot spot")</f>
        <v>Име на клип</v>
      </c>
      <c r="D7" s="311"/>
      <c r="E7" s="310" t="str">
        <f>IF($B$6="BG","Код","Code")</f>
        <v>Код</v>
      </c>
      <c r="F7" s="311"/>
      <c r="G7" s="167" t="str">
        <f>IF($B$6="BG","Секунди","Secоnds")</f>
        <v>Секунди</v>
      </c>
      <c r="H7" s="310" t="str">
        <f>IF($B$6="BG","Коефициент 30 сек.","Coefficient to 30 sec.")</f>
        <v>Коефициент 30 сек.</v>
      </c>
      <c r="I7" s="311"/>
      <c r="J7" s="167" t="str">
        <f>IF($B$6="BG","Брой","Count")</f>
        <v>Брой</v>
      </c>
      <c r="K7" s="167" t="s">
        <v>96</v>
      </c>
      <c r="L7" s="185" t="s">
        <v>96</v>
      </c>
      <c r="M7" s="185" t="s">
        <v>96</v>
      </c>
      <c r="N7" s="185" t="s">
        <v>96</v>
      </c>
      <c r="O7" s="185" t="s">
        <v>96</v>
      </c>
      <c r="P7" s="185" t="s">
        <v>96</v>
      </c>
      <c r="Q7" s="185" t="s">
        <v>96</v>
      </c>
      <c r="R7" s="185" t="s">
        <v>96</v>
      </c>
      <c r="S7" s="185" t="s">
        <v>96</v>
      </c>
      <c r="T7" s="185" t="s">
        <v>96</v>
      </c>
      <c r="U7" s="185" t="s">
        <v>96</v>
      </c>
      <c r="V7" s="185" t="s">
        <v>96</v>
      </c>
      <c r="W7" s="185" t="s">
        <v>96</v>
      </c>
      <c r="X7" s="310" t="str">
        <f>IF($B$6="BG","Бонус/
Компенс.","Bonus/
Compens.")</f>
        <v>Бонус/
Компенс.</v>
      </c>
      <c r="Y7" s="312"/>
      <c r="Z7" s="311"/>
      <c r="AD7" s="120" t="s">
        <v>73</v>
      </c>
    </row>
    <row r="8" spans="1:30" ht="12" customHeight="1">
      <c r="A8" s="31" t="s">
        <v>92</v>
      </c>
      <c r="B8" s="22"/>
      <c r="C8" s="346"/>
      <c r="D8" s="347"/>
      <c r="E8" s="258" t="s">
        <v>64</v>
      </c>
      <c r="F8" s="259"/>
      <c r="G8" s="13"/>
      <c r="H8" s="269">
        <f>IF(G8="",0,VLOOKUP(G8,data!$B$17:$C$102,2,FALSE))</f>
        <v>0</v>
      </c>
      <c r="I8" s="270"/>
      <c r="J8" s="35" t="b">
        <f aca="true" t="shared" si="0" ref="J8:J13">IF(G8&gt;0,(COUNTIF($X$17:$BB$48,E8)))</f>
        <v>0</v>
      </c>
      <c r="X8" s="300"/>
      <c r="Y8" s="301"/>
      <c r="Z8" s="302"/>
      <c r="AD8" s="120" t="s">
        <v>72</v>
      </c>
    </row>
    <row r="9" spans="1:30" ht="12" customHeight="1">
      <c r="A9" s="34" t="s">
        <v>17</v>
      </c>
      <c r="B9" s="22"/>
      <c r="C9" s="348"/>
      <c r="D9" s="349"/>
      <c r="E9" s="258" t="str">
        <f>IF(G9&lt;&gt;"","B","-")</f>
        <v>-</v>
      </c>
      <c r="F9" s="259"/>
      <c r="G9" s="13"/>
      <c r="H9" s="269">
        <f>IF(G9="",0,VLOOKUP(G9,data!$B$17:$C$102,2,FALSE))</f>
        <v>0</v>
      </c>
      <c r="I9" s="270"/>
      <c r="J9" s="35" t="b">
        <f t="shared" si="0"/>
        <v>0</v>
      </c>
      <c r="X9" s="300"/>
      <c r="Y9" s="301"/>
      <c r="Z9" s="302"/>
      <c r="AD9" s="120"/>
    </row>
    <row r="10" spans="1:26" ht="12" customHeight="1">
      <c r="A10" s="34" t="s">
        <v>16</v>
      </c>
      <c r="B10" s="22"/>
      <c r="C10" s="350"/>
      <c r="D10" s="351"/>
      <c r="E10" s="258" t="str">
        <f>IF(G10&lt;&gt;"","C","-")</f>
        <v>-</v>
      </c>
      <c r="F10" s="259"/>
      <c r="G10" s="13"/>
      <c r="H10" s="269">
        <f>IF(G10="",0,VLOOKUP(G10,data!$B$17:$C$102,2,FALSE))</f>
        <v>0</v>
      </c>
      <c r="I10" s="270"/>
      <c r="J10" s="35" t="b">
        <f t="shared" si="0"/>
        <v>0</v>
      </c>
      <c r="X10" s="300"/>
      <c r="Y10" s="301"/>
      <c r="Z10" s="302"/>
    </row>
    <row r="11" spans="1:26" ht="12" customHeight="1">
      <c r="A11" s="34" t="s">
        <v>12</v>
      </c>
      <c r="B11" s="22"/>
      <c r="C11" s="350"/>
      <c r="D11" s="351"/>
      <c r="E11" s="265" t="str">
        <f>IF(G11&lt;&gt;"","D","-")</f>
        <v>-</v>
      </c>
      <c r="F11" s="266"/>
      <c r="G11" s="13"/>
      <c r="H11" s="269">
        <f>IF(G11="",0,VLOOKUP(G11,data!$B$17:$C$102,2,FALSE))</f>
        <v>0</v>
      </c>
      <c r="I11" s="270"/>
      <c r="J11" s="35" t="b">
        <f t="shared" si="0"/>
        <v>0</v>
      </c>
      <c r="X11" s="300"/>
      <c r="Y11" s="301"/>
      <c r="Z11" s="302"/>
    </row>
    <row r="12" spans="1:26" ht="12" customHeight="1">
      <c r="A12" s="34" t="s">
        <v>11</v>
      </c>
      <c r="B12" s="55"/>
      <c r="C12" s="352"/>
      <c r="D12" s="353"/>
      <c r="E12" s="320" t="str">
        <f>IF(G12&lt;&gt;"","E","-")</f>
        <v>-</v>
      </c>
      <c r="F12" s="321"/>
      <c r="G12" s="56"/>
      <c r="H12" s="269">
        <f>IF(G12="",0,VLOOKUP(G12,data!$B$17:$C$102,2,FALSE))</f>
        <v>0</v>
      </c>
      <c r="I12" s="270"/>
      <c r="J12" s="35" t="b">
        <f t="shared" si="0"/>
        <v>0</v>
      </c>
      <c r="X12" s="315"/>
      <c r="Y12" s="316"/>
      <c r="Z12" s="317"/>
    </row>
    <row r="13" spans="1:26" ht="12" customHeight="1">
      <c r="A13" s="34" t="s">
        <v>13</v>
      </c>
      <c r="B13" s="22"/>
      <c r="C13" s="354"/>
      <c r="D13" s="355"/>
      <c r="E13" s="288" t="str">
        <f>IF(G13&lt;&gt;"","F","-")</f>
        <v>-</v>
      </c>
      <c r="F13" s="288"/>
      <c r="G13" s="13"/>
      <c r="H13" s="269">
        <f>IF(G13="",0,VLOOKUP(G13,data!$B$17:$C$102,2,FALSE))</f>
        <v>0</v>
      </c>
      <c r="I13" s="270"/>
      <c r="J13" s="35" t="b">
        <f t="shared" si="0"/>
        <v>0</v>
      </c>
      <c r="X13" s="318"/>
      <c r="Y13" s="318"/>
      <c r="Z13" s="318"/>
    </row>
    <row r="14" spans="1:62" ht="12" customHeight="1">
      <c r="A14" s="34" t="s">
        <v>14</v>
      </c>
      <c r="B14" s="22"/>
      <c r="C14" s="324"/>
      <c r="D14" s="325"/>
      <c r="E14" s="325"/>
      <c r="F14" s="325"/>
      <c r="G14" s="325"/>
      <c r="H14" s="325"/>
      <c r="I14" s="325"/>
      <c r="J14" s="325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303" t="str">
        <f>IF($B$6="BG","Януари 2019","January 2019")</f>
        <v>Януари 2019</v>
      </c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5"/>
      <c r="BC14" s="25"/>
      <c r="BD14" s="25"/>
      <c r="BE14" s="25"/>
      <c r="BF14" s="25"/>
      <c r="BG14" s="25"/>
      <c r="BH14" s="25"/>
      <c r="BI14" s="25"/>
      <c r="BJ14" s="25"/>
    </row>
    <row r="15" spans="1:62" ht="12" customHeight="1">
      <c r="A15" s="34" t="s">
        <v>15</v>
      </c>
      <c r="B15" s="22"/>
      <c r="C15" s="326"/>
      <c r="D15" s="327"/>
      <c r="E15" s="327"/>
      <c r="F15" s="327"/>
      <c r="G15" s="327"/>
      <c r="H15" s="327"/>
      <c r="I15" s="327"/>
      <c r="J15" s="327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306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8"/>
      <c r="BC15" s="25"/>
      <c r="BD15" s="25"/>
      <c r="BE15" s="25"/>
      <c r="BF15" s="25"/>
      <c r="BG15" s="25"/>
      <c r="BH15" s="25"/>
      <c r="BI15" s="25"/>
      <c r="BJ15" s="25"/>
    </row>
    <row r="16" spans="1:69" ht="49.5" customHeight="1">
      <c r="A16" s="167" t="str">
        <f>IF($B$6="BG","Бележки","Notice")</f>
        <v>Бележки</v>
      </c>
      <c r="B16" s="167" t="str">
        <f>IF($B$6="BG","Програма","Program")</f>
        <v>Програма</v>
      </c>
      <c r="C16" s="167" t="str">
        <f>IF($B$6="BG","Ден","Day")</f>
        <v>Ден</v>
      </c>
      <c r="D16" s="167" t="str">
        <f>IF($B$6="BG","Час","Time")</f>
        <v>Час</v>
      </c>
      <c r="E16" s="167" t="str">
        <f>IF($B$6="BG","Ключ","Key")</f>
        <v>Ключ</v>
      </c>
      <c r="F16" s="167" t="str">
        <f>IF($B$6="BG","Часова зона","Day part")</f>
        <v>Часова зона</v>
      </c>
      <c r="G16" s="167" t="str">
        <f>IF($B$6="BG","Рекламна форма","TVC Type")</f>
        <v>Рекламна форма</v>
      </c>
      <c r="H16" s="167" t="str">
        <f>IF($B$6="BG","Цена за клип 30 сек.","30 sec Price")</f>
        <v>Цена за клип 30 сек.</v>
      </c>
      <c r="I16" s="167" t="str">
        <f>IF($B$6="BG","Брой","Count")</f>
        <v>Брой</v>
      </c>
      <c r="J16" s="167" t="str">
        <f>IF($B$6="BG","Общо цена","Total")</f>
        <v>Общо цена</v>
      </c>
      <c r="K16" s="167" t="s">
        <v>18</v>
      </c>
      <c r="L16" s="167" t="s">
        <v>19</v>
      </c>
      <c r="M16" s="167" t="s">
        <v>20</v>
      </c>
      <c r="N16" s="167" t="s">
        <v>25</v>
      </c>
      <c r="O16" s="167" t="s">
        <v>21</v>
      </c>
      <c r="P16" s="167" t="s">
        <v>26</v>
      </c>
      <c r="Q16" s="167" t="s">
        <v>22</v>
      </c>
      <c r="R16" s="167" t="s">
        <v>27</v>
      </c>
      <c r="S16" s="167" t="s">
        <v>23</v>
      </c>
      <c r="T16" s="167" t="s">
        <v>28</v>
      </c>
      <c r="U16" s="167" t="s">
        <v>24</v>
      </c>
      <c r="V16" s="167" t="s">
        <v>29</v>
      </c>
      <c r="W16" s="167" t="s">
        <v>30</v>
      </c>
      <c r="X16" s="188">
        <v>1</v>
      </c>
      <c r="Y16" s="188">
        <v>2</v>
      </c>
      <c r="Z16" s="188">
        <v>3</v>
      </c>
      <c r="AA16" s="188">
        <v>4</v>
      </c>
      <c r="AB16" s="57">
        <v>5</v>
      </c>
      <c r="AC16" s="57">
        <v>6</v>
      </c>
      <c r="AD16" s="188">
        <v>7</v>
      </c>
      <c r="AE16" s="188">
        <v>8</v>
      </c>
      <c r="AF16" s="188">
        <v>9</v>
      </c>
      <c r="AG16" s="188">
        <v>10</v>
      </c>
      <c r="AH16" s="188">
        <v>11</v>
      </c>
      <c r="AI16" s="57">
        <v>12</v>
      </c>
      <c r="AJ16" s="57">
        <v>13</v>
      </c>
      <c r="AK16" s="188">
        <v>14</v>
      </c>
      <c r="AL16" s="188">
        <v>15</v>
      </c>
      <c r="AM16" s="188">
        <v>16</v>
      </c>
      <c r="AN16" s="188">
        <v>17</v>
      </c>
      <c r="AO16" s="188">
        <v>18</v>
      </c>
      <c r="AP16" s="57">
        <v>19</v>
      </c>
      <c r="AQ16" s="57">
        <v>20</v>
      </c>
      <c r="AR16" s="188">
        <v>21</v>
      </c>
      <c r="AS16" s="188">
        <v>22</v>
      </c>
      <c r="AT16" s="188">
        <v>23</v>
      </c>
      <c r="AU16" s="188">
        <v>24</v>
      </c>
      <c r="AV16" s="188">
        <v>25</v>
      </c>
      <c r="AW16" s="57">
        <v>26</v>
      </c>
      <c r="AX16" s="57">
        <v>27</v>
      </c>
      <c r="AY16" s="188">
        <v>28</v>
      </c>
      <c r="AZ16" s="188">
        <v>29</v>
      </c>
      <c r="BA16" s="188">
        <v>30</v>
      </c>
      <c r="BB16" s="188">
        <v>31</v>
      </c>
      <c r="BC16" s="169" t="str">
        <f>IF($B$6="BG","Утежнение за позиция в блок/две реклами в блок","Surcharge in the block/two ad unit")</f>
        <v>Утежнение за позиция в блок/две реклами в блок</v>
      </c>
      <c r="BD16" s="169" t="str">
        <f>IF($B$6="BG","Утежнение за съвместна реклама","Co-Ad surcharge")</f>
        <v>Утежнение за съвместна реклама</v>
      </c>
      <c r="BE16" s="169" t="s">
        <v>45</v>
      </c>
      <c r="BF16" s="169" t="str">
        <f>IF($B$6="BG","Цена за
клип/СЗ/ПР
без утежнения","Price for spot/ST/PR without surcharge")</f>
        <v>Цена за
клип/СЗ/ПР
без утежнения</v>
      </c>
      <c r="BG16" s="169" t="str">
        <f>IF($B$6="BG","Цена с утежнения за позиция и марка","Price with surcharge for Position and Brand")</f>
        <v>Цена с утежнения за позиция и марка</v>
      </c>
      <c r="BH16" s="169" t="str">
        <f>IF($B$6="BG","Утежнения за позиция и марка","Price surcharge for Position and Brand")</f>
        <v>Утежнения за позиция и марка</v>
      </c>
      <c r="BI16" s="169" t="str">
        <f>IF($B$6="BG","Утежнения закъснение","Surcharge for Delay")</f>
        <v>Утежнения закъснение</v>
      </c>
      <c r="BJ16" s="169" t="str">
        <f>IF($B$6="BG","Общо утежнение","Total Surcharge")</f>
        <v>Общо утежнение</v>
      </c>
      <c r="BL16" s="85" t="s">
        <v>0</v>
      </c>
      <c r="BM16" s="85" t="s">
        <v>1</v>
      </c>
      <c r="BN16" s="85" t="s">
        <v>2</v>
      </c>
      <c r="BO16" s="85" t="s">
        <v>3</v>
      </c>
      <c r="BP16" s="85" t="s">
        <v>4</v>
      </c>
      <c r="BQ16" s="85" t="s">
        <v>5</v>
      </c>
    </row>
    <row r="17" spans="1:69" ht="12.75" customHeight="1">
      <c r="A17" s="137"/>
      <c r="B17" s="138"/>
      <c r="C17" s="139"/>
      <c r="D17" s="140"/>
      <c r="E17" s="141">
        <f>IF(D17="","",ABS(LEFT(D17,2)))</f>
      </c>
      <c r="F17" s="141">
        <f>IF(D17="","",IF((E17&gt;=19)*(E17&lt;22),"PT","OPT"))</f>
      </c>
      <c r="G17" s="195"/>
      <c r="H17" s="142">
        <f>IF($C$8="",SUMIF(time100,D17,data!$M$16:$M$21),SUMIF(packs,$C$8,data!$M$10:$M$12))</f>
        <v>0</v>
      </c>
      <c r="I17" s="143">
        <f>COUNTA(X17:BB17)</f>
        <v>0</v>
      </c>
      <c r="J17" s="142">
        <f aca="true" t="shared" si="1" ref="J17:J48">(K17*L17+M17*N17+O17*P17+Q17*R17+S17*T17+U17*V17)*W17</f>
        <v>0</v>
      </c>
      <c r="K17" s="14" t="b">
        <f>IF($X$8="Да/Yes",0,IF(G17="Spons tag",H17/2,IF(G17="Spot",$H$8*H17,IF(G17="Paid report",H17*$G$8*1*2/60,IF(AND(G17="Cut-in",$G$8&lt;=10),H17*0.7,IF(G17="Break ID with VO 7+7",H17*1.2,IF(AND(G17="Spons promo",$G$8&lt;=10),H17/2,IF(G17="Break ID 7+7",H17))))))))</f>
        <v>0</v>
      </c>
      <c r="L17" s="12">
        <f>COUNTIF(X17:BB17,$E$8)</f>
        <v>0</v>
      </c>
      <c r="M17" s="14" t="b">
        <f>IF($X$9="Да/Yes",0,IF(G17="Spons tag",H17/2,IF(G17="Spot",$H$9*H17,IF(G17="Paid report",H17*$G$9*1*2/60,IF(AND(G17="Cut-in",$G$9&lt;=10),H17*0.7,IF(G17="Break ID with VO 7+7",H17*1.2,IF(AND(G17="Spons promo",$G$9&lt;=10),H17/2,IF(G17="Break ID 7+7",H17))))))))</f>
        <v>0</v>
      </c>
      <c r="N17" s="12">
        <f>COUNTIF(X17:BB17,$E$9)</f>
        <v>0</v>
      </c>
      <c r="O17" s="14" t="b">
        <f>IF($X$10="Да/Yes",0,IF(G17="Spons tag",H17/2,IF(G17="Spot",$H$10*H17,IF(G17="Paid report",H17*$G$10*1*2/60,IF(AND(G17="Cut-in",$G$10&lt;=10),H17*0.7,IF(G17="Break ID with VO 7+7",H17*1.2,IF(AND(G17="Spons promo",$G$10&lt;=10),H17/2,IF(G17="Break ID 7+7",H17))))))))</f>
        <v>0</v>
      </c>
      <c r="P17" s="12">
        <f>COUNTIF(X17:BB17,$E$10)</f>
        <v>0</v>
      </c>
      <c r="Q17" s="14" t="b">
        <f>IF($X$11="Да/Yes",0,IF(G17="Spons tag",H17/2,IF(G17="Spot",$H$11*H17,IF(G17="Paid report",H17*$G$11*1*2/60,IF(AND(G17="Cut-in",$G$11&lt;=10),H17*0.7,IF(G17="Break ID with VO 7+7",H17*1.2,IF(AND(G17="Spons promo",$G$11&lt;=10),H17/2,IF(G17="Break ID 7+7",H17))))))))</f>
        <v>0</v>
      </c>
      <c r="R17" s="12">
        <f>COUNTIF(X17:BB17,$E$11)</f>
        <v>0</v>
      </c>
      <c r="S17" s="14" t="b">
        <f>IF($X$12="Да/Yes",0,IF(G17="Spons tag",H17/2,IF(G17="Spot",$H$12*H17,IF(G17="Paid report",H17*$G$12*1*2/60,IF(AND(G17="Cut-in",$G$12&lt;=10),H17*0.7,IF(G17="Break ID with VO 7+7",H17*1.2,IF(AND(G17="Spons promo",$G$12&lt;=10),H17/2,IF(G17="Break ID 7+7",H17))))))))</f>
        <v>0</v>
      </c>
      <c r="T17" s="12">
        <f>COUNTIF(X17:BB17,$E$12)</f>
        <v>0</v>
      </c>
      <c r="U17" s="14" t="b">
        <f>IF($X$13="Да/Yes",0,IF(G17="Spons tag",H17/2,IF(G17="Spot",$H$13*H17,IF(G17="Paid report",H17*$G$13*1*2/60,IF(AND(G17="Cut-in",$G$13&lt;=10),H17*0.7,IF(G17="Break ID with VO 7+7",H17*1.2,IF(AND(G17="Spons promo",$G$13&lt;=10),H17/2,IF(G17="Break ID 7+7",H17))))))))</f>
        <v>0</v>
      </c>
      <c r="V17" s="12">
        <f>COUNTIF(X17:BB17,$E$13)</f>
        <v>0</v>
      </c>
      <c r="W17" s="13">
        <f>IF(BC17="",1,VLOOKUP(BC17,data!$C$3:$D$10,2,FALSE))*(1+BD17)</f>
        <v>1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1"/>
      <c r="BD17" s="8"/>
      <c r="BE17" s="8"/>
      <c r="BF17" s="6">
        <f>IF(I17=0,0,(K17*L17+M17*N17+O17*P17+Q17*R17+S17*T17+U17*V17)/I17)</f>
        <v>0</v>
      </c>
      <c r="BG17" s="6">
        <f>IF(I17=0,0,J17/I17)</f>
        <v>0</v>
      </c>
      <c r="BH17" s="6">
        <f>IF((BG17-BF17)&gt;0,(BG17-BF17)*I17,0)</f>
        <v>0</v>
      </c>
      <c r="BI17" s="6">
        <f>BE17*BG17</f>
        <v>0</v>
      </c>
      <c r="BJ17" s="6">
        <f>BH17+BI17</f>
        <v>0</v>
      </c>
      <c r="BL17" s="89">
        <f>((COUNTIF(X17:AC17,"A")*K17)+(COUNTIF(W17:AC17,"B")*M17)+(COUNTIF(W17:AC17,"C")*O17)+(COUNTIF(X17:AC17,"D")*Q17)+(COUNTIF(W17:AC17,"E")*S17)+(COUNTIF(W17:AC17,"F")*U17))*W17</f>
        <v>0</v>
      </c>
      <c r="BM17" s="89">
        <f>((COUNTIF(AD17:AJ17,"A")*K17)+(COUNTIF(AD17:AJ17,"B")*M17)+(COUNTIF(AD17:AJ17,"C")*O17)+(COUNTIF(AD17:AJ17,"D")*Q17)+(COUNTIF(AD17:AJ17,"E")*S17)+(COUNTIF(AD17:AJ17,"F")*U17))*W17</f>
        <v>0</v>
      </c>
      <c r="BN17" s="89">
        <f>((COUNTIF(AK17:AQ17,"A")*K17)+(COUNTIF(AK17:AQ17,"B")*M17)+(COUNTIF(AK17:AQ17,"C")*O17)+(COUNTIF(AK17:AQ17,"D")*Q17)+(COUNTIF(AK17:AQ17,"E")*S17)++(COUNTIF(AK17:AQ17,"F")*U17))*W17</f>
        <v>0</v>
      </c>
      <c r="BO17" s="89">
        <f>((COUNTIF(AR17:AX17,"A")*K17)+(COUNTIF(AR17:AX17,"B")*M17)+(COUNTIF(AR17:AX17,"C")*O17)+(COUNTIF(AR17:AX17,"D")*Q17)+(COUNTIF(AR17:AX17,"E")*S17)++(COUNTIF(AR17:AX17,"F")*U17))*W17</f>
        <v>0</v>
      </c>
      <c r="BP17" s="89">
        <f>((COUNTIF(AY17:BB17,"A")*K17)+(COUNTIF(AY17:BB17,"B")*M17)+(COUNTIF(AY17:BB17,"C")*O17)+(COUNTIF(AY17:BB17,"D")*Q17)+(COUNTIF(AY17:BB17,"E")*S17)+(COUNTIF(AY17:BB17,"F")*U17))*W17</f>
        <v>0</v>
      </c>
      <c r="BQ17" s="89">
        <f>((COUNTIF(BB17,"A")*K17)+(COUNTIF(BB17,"B")*M17)+(COUNTIF(BB17,"C")*O17)+(COUNTIF(BB17,"D")*Q17)+(COUNTIF(BB17,"E")*S17)+(COUNTIF(BB17,"F")*U17))*W17</f>
        <v>0</v>
      </c>
    </row>
    <row r="18" spans="1:69" ht="12.75" customHeight="1">
      <c r="A18" s="137"/>
      <c r="B18" s="138"/>
      <c r="C18" s="139"/>
      <c r="D18" s="140"/>
      <c r="E18" s="141">
        <f aca="true" t="shared" si="2" ref="E18:E48">IF(D18="","",ABS(LEFT(D18,2)))</f>
      </c>
      <c r="F18" s="141">
        <f aca="true" t="shared" si="3" ref="F18:F48">IF(D18="","",IF((E18&gt;=19)*(E18&lt;22),"PT","OPT"))</f>
      </c>
      <c r="G18" s="195"/>
      <c r="H18" s="142">
        <f>IF($C$8="",SUMIF(time100,D18,data!$M$16:$M$21),SUMIF(packs,$C$8,data!$M$10:$M$12))</f>
        <v>0</v>
      </c>
      <c r="I18" s="143">
        <f aca="true" t="shared" si="4" ref="I18:I48">COUNTA(X18:BB18)</f>
        <v>0</v>
      </c>
      <c r="J18" s="142">
        <f t="shared" si="1"/>
        <v>0</v>
      </c>
      <c r="K18" s="14" t="b">
        <f aca="true" t="shared" si="5" ref="K18:K48">IF($X$8="Да/Yes",0,IF(G18="Spons tag",H18/2,IF(G18="Spot",$H$8*H18,IF(G18="Paid report",H18*$G$8*1*2/60,IF(AND(G18="Cut-in",$G$8&lt;=10),H18*0.7,IF(G18="Break ID with VO 7+7",H18*1.2,IF(AND(G18="Spons promo",$G$8&lt;=10),H18/2,IF(G18="Break ID 7+7",H18))))))))</f>
        <v>0</v>
      </c>
      <c r="L18" s="12">
        <f aca="true" t="shared" si="6" ref="L18:L48">COUNTIF(X18:BB18,$E$8)</f>
        <v>0</v>
      </c>
      <c r="M18" s="14" t="b">
        <f aca="true" t="shared" si="7" ref="M18:M48">IF($X$9="Да/Yes",0,IF(G18="Spons tag",H18/2,IF(G18="Spot",$H$9*H18,IF(G18="Paid report",H18*$G$9*1*2/60,IF(AND(G18="Cut-in",$G$9&lt;=10),H18*0.7,IF(G18="Break ID with VO 7+7",H18*1.2,IF(AND(G18="Spons promo",$G$9&lt;=10),H18/2,IF(G18="Break ID 7+7",H18))))))))</f>
        <v>0</v>
      </c>
      <c r="N18" s="12">
        <f aca="true" t="shared" si="8" ref="N18:N48">COUNTIF(X18:BB18,$E$9)</f>
        <v>0</v>
      </c>
      <c r="O18" s="14" t="b">
        <f aca="true" t="shared" si="9" ref="O18:O48">IF($X$10="Да/Yes",0,IF(G18="Spons tag",H18/2,IF(G18="Spot",$H$10*H18,IF(G18="Paid report",H18*$G$10*1*2/60,IF(AND(G18="Cut-in",$G$10&lt;=10),H18*0.7,IF(G18="Break ID with VO 7+7",H18*1.2,IF(AND(G18="Spons promo",$G$10&lt;=10),H18/2,IF(G18="Break ID 7+7",H18))))))))</f>
        <v>0</v>
      </c>
      <c r="P18" s="12">
        <f aca="true" t="shared" si="10" ref="P18:P48">COUNTIF(X18:BB18,$E$10)</f>
        <v>0</v>
      </c>
      <c r="Q18" s="14" t="b">
        <f aca="true" t="shared" si="11" ref="Q18:Q49">IF($X$11="Да/Yes",0,IF(G18="Spons tag",H18/2,IF(G18="Spot",$H$11*H18,IF(G18="Paid report",H18*$G$11*1*2/60,IF(AND(G18="Cut-in",$G$11&lt;=10),H18*0.7,IF(G18="Break ID with VO 7+7",H18*1.2,IF(AND(G18="Spons promo",$G$11&lt;=10),H18/2,IF(G18="Break ID 7+7",H18))))))))</f>
        <v>0</v>
      </c>
      <c r="R18" s="12">
        <f aca="true" t="shared" si="12" ref="R18:R48">COUNTIF(X18:BB18,$E$11)</f>
        <v>0</v>
      </c>
      <c r="S18" s="14" t="b">
        <f aca="true" t="shared" si="13" ref="S18:S48">IF($X$12="Да/Yes",0,IF(G18="Spons tag",H18/2,IF(G18="Spot",$H$12*H18,IF(G18="Paid report",H18*$G$12*1*2/60,IF(AND(G18="Cut-in",$G$12&lt;=10),H18*0.7,IF(G18="Break ID with VO 7+7",H18*1.2,IF(AND(G18="Spons promo",$G$12&lt;=10),H18/2,IF(G18="Break ID 7+7",H18))))))))</f>
        <v>0</v>
      </c>
      <c r="T18" s="12">
        <f aca="true" t="shared" si="14" ref="T18:T49">COUNTIF(X18:BB18,$E$12)</f>
        <v>0</v>
      </c>
      <c r="U18" s="14" t="b">
        <f aca="true" t="shared" si="15" ref="U18:U48">IF($X$13="Да/Yes",0,IF(G18="Spons tag",H18/2,IF(G18="Spot",$H$13*H18,IF(G18="Paid report",H18*$G$13*1*2/60,IF(AND(G18="Cut-in",$G$13&lt;=10),H18*0.7,IF(G18="Break ID with VO 7+7",H18*1.2,IF(AND(G18="Spons promo",$G$13&lt;=10),H18/2,IF(G18="Break ID 7+7",H18))))))))</f>
        <v>0</v>
      </c>
      <c r="V18" s="12">
        <f aca="true" t="shared" si="16" ref="V18:V48">COUNTIF(X18:BB18,$E$13)</f>
        <v>0</v>
      </c>
      <c r="W18" s="184">
        <f>IF(BC18="",1,VLOOKUP(BC18,data!$C$3:$D$10,2,FALSE))*(1+BD18)</f>
        <v>1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"/>
      <c r="BD18" s="8"/>
      <c r="BE18" s="8"/>
      <c r="BF18" s="6">
        <f aca="true" t="shared" si="17" ref="BF18:BF48">IF(I18=0,0,(K18*L18+M18*N18+O18*P18+Q18*R18+S18*T18+U18*V18)/I18)</f>
        <v>0</v>
      </c>
      <c r="BG18" s="6">
        <f aca="true" t="shared" si="18" ref="BG18:BG48">IF(I18=0,0,J18/I18)</f>
        <v>0</v>
      </c>
      <c r="BH18" s="6">
        <f aca="true" t="shared" si="19" ref="BH18:BH48">IF((BG18-BF18)&gt;0,(BG18-BF18)*I18,0)</f>
        <v>0</v>
      </c>
      <c r="BI18" s="6">
        <f aca="true" t="shared" si="20" ref="BI18:BI48">BE18*BG18</f>
        <v>0</v>
      </c>
      <c r="BJ18" s="6">
        <f aca="true" t="shared" si="21" ref="BJ18:BJ48">BH18+BI18</f>
        <v>0</v>
      </c>
      <c r="BL18" s="89">
        <f aca="true" t="shared" si="22" ref="BL18:BL48">((COUNTIF(X18:AC18,"A")*K18)+(COUNTIF(W18:AC18,"B")*M18)+(COUNTIF(W18:AC18,"C")*O18)+(COUNTIF(X18:AC18,"D")*Q18)+(COUNTIF(W18:AC18,"E")*S18)+(COUNTIF(W18:AC18,"F")*U18))*W18</f>
        <v>0</v>
      </c>
      <c r="BM18" s="89">
        <f aca="true" t="shared" si="23" ref="BM18:BM48">((COUNTIF(AD18:AJ18,"A")*K18)+(COUNTIF(AD18:AJ18,"B")*M18)+(COUNTIF(AD18:AJ18,"C")*O18)+(COUNTIF(AD18:AJ18,"D")*Q18)+(COUNTIF(AD18:AJ18,"E")*S18)+(COUNTIF(AD18:AJ18,"F")*U18))*W18</f>
        <v>0</v>
      </c>
      <c r="BN18" s="89">
        <f aca="true" t="shared" si="24" ref="BN18:BN48">((COUNTIF(AK18:AQ18,"A")*K18)+(COUNTIF(AK18:AQ18,"B")*M18)+(COUNTIF(AK18:AQ18,"C")*O18)+(COUNTIF(AK18:AQ18,"D")*Q18)+(COUNTIF(AK18:AQ18,"E")*S18)++(COUNTIF(AK18:AQ18,"F")*U18))*W18</f>
        <v>0</v>
      </c>
      <c r="BO18" s="89">
        <f aca="true" t="shared" si="25" ref="BO18:BO48">((COUNTIF(AR18:AX18,"A")*K18)+(COUNTIF(AR18:AX18,"B")*M18)+(COUNTIF(AR18:AX18,"C")*O18)+(COUNTIF(AR18:AX18,"D")*Q18)+(COUNTIF(AR18:AX18,"E")*S18)++(COUNTIF(AR18:AX18,"F")*U18))*W18</f>
        <v>0</v>
      </c>
      <c r="BP18" s="89">
        <f aca="true" t="shared" si="26" ref="BP18:BP48">((COUNTIF(AY18:BB18,"A")*K18)+(COUNTIF(AY18:BB18,"B")*M18)+(COUNTIF(AY18:BB18,"C")*O18)+(COUNTIF(AY18:BB18,"D")*Q18)+(COUNTIF(AY18:BB18,"E")*S18)+(COUNTIF(AY18:BB18,"F")*U18))*W18</f>
        <v>0</v>
      </c>
      <c r="BQ18" s="89">
        <f aca="true" t="shared" si="27" ref="BQ18:BQ48">((COUNTIF(BB18,"A")*K18)+(COUNTIF(BB18,"B")*M18)+(COUNTIF(BB18,"C")*O18)+(COUNTIF(BB18,"D")*Q18)+(COUNTIF(BB18,"E")*S18)+(COUNTIF(BB18,"F")*U18))*W18</f>
        <v>0</v>
      </c>
    </row>
    <row r="19" spans="1:69" ht="12.75" customHeight="1">
      <c r="A19" s="137"/>
      <c r="B19" s="138"/>
      <c r="C19" s="139"/>
      <c r="D19" s="140"/>
      <c r="E19" s="141">
        <f t="shared" si="2"/>
      </c>
      <c r="F19" s="141">
        <f t="shared" si="3"/>
      </c>
      <c r="G19" s="195"/>
      <c r="H19" s="142">
        <f>IF($C$8="",SUMIF(time100,D19,data!$M$16:$M$21),SUMIF(packs,$C$8,data!$M$10:$M$12))</f>
        <v>0</v>
      </c>
      <c r="I19" s="143">
        <f t="shared" si="4"/>
        <v>0</v>
      </c>
      <c r="J19" s="142">
        <f t="shared" si="1"/>
        <v>0</v>
      </c>
      <c r="K19" s="14" t="b">
        <f t="shared" si="5"/>
        <v>0</v>
      </c>
      <c r="L19" s="12">
        <f t="shared" si="6"/>
        <v>0</v>
      </c>
      <c r="M19" s="14" t="b">
        <f t="shared" si="7"/>
        <v>0</v>
      </c>
      <c r="N19" s="12">
        <f t="shared" si="8"/>
        <v>0</v>
      </c>
      <c r="O19" s="14" t="b">
        <f t="shared" si="9"/>
        <v>0</v>
      </c>
      <c r="P19" s="12">
        <f t="shared" si="10"/>
        <v>0</v>
      </c>
      <c r="Q19" s="14" t="b">
        <f t="shared" si="11"/>
        <v>0</v>
      </c>
      <c r="R19" s="12">
        <f t="shared" si="12"/>
        <v>0</v>
      </c>
      <c r="S19" s="14" t="b">
        <f t="shared" si="13"/>
        <v>0</v>
      </c>
      <c r="T19" s="12">
        <f t="shared" si="14"/>
        <v>0</v>
      </c>
      <c r="U19" s="14" t="b">
        <f t="shared" si="15"/>
        <v>0</v>
      </c>
      <c r="V19" s="12">
        <f t="shared" si="16"/>
        <v>0</v>
      </c>
      <c r="W19" s="184">
        <f>IF(BC19="",1,VLOOKUP(BC19,data!$C$3:$D$10,2,FALSE))*(1+BD19)</f>
        <v>1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1"/>
      <c r="BD19" s="8"/>
      <c r="BE19" s="8"/>
      <c r="BF19" s="6">
        <f t="shared" si="17"/>
        <v>0</v>
      </c>
      <c r="BG19" s="6">
        <f t="shared" si="18"/>
        <v>0</v>
      </c>
      <c r="BH19" s="6">
        <f t="shared" si="19"/>
        <v>0</v>
      </c>
      <c r="BI19" s="6">
        <f t="shared" si="20"/>
        <v>0</v>
      </c>
      <c r="BJ19" s="6">
        <f t="shared" si="21"/>
        <v>0</v>
      </c>
      <c r="BL19" s="89">
        <f t="shared" si="22"/>
        <v>0</v>
      </c>
      <c r="BM19" s="89">
        <f t="shared" si="23"/>
        <v>0</v>
      </c>
      <c r="BN19" s="89">
        <f t="shared" si="24"/>
        <v>0</v>
      </c>
      <c r="BO19" s="89">
        <f t="shared" si="25"/>
        <v>0</v>
      </c>
      <c r="BP19" s="89">
        <f t="shared" si="26"/>
        <v>0</v>
      </c>
      <c r="BQ19" s="89">
        <f t="shared" si="27"/>
        <v>0</v>
      </c>
    </row>
    <row r="20" spans="1:69" ht="12.75" customHeight="1">
      <c r="A20" s="137"/>
      <c r="B20" s="138"/>
      <c r="C20" s="139"/>
      <c r="D20" s="140"/>
      <c r="E20" s="141">
        <f t="shared" si="2"/>
      </c>
      <c r="F20" s="141">
        <f t="shared" si="3"/>
      </c>
      <c r="G20" s="195"/>
      <c r="H20" s="142">
        <f>IF($C$8="",SUMIF(time100,D20,data!$M$16:$M$21),SUMIF(packs,$C$8,data!$M$10:$M$12))</f>
        <v>0</v>
      </c>
      <c r="I20" s="143">
        <f t="shared" si="4"/>
        <v>0</v>
      </c>
      <c r="J20" s="142">
        <f t="shared" si="1"/>
        <v>0</v>
      </c>
      <c r="K20" s="14" t="b">
        <f t="shared" si="5"/>
        <v>0</v>
      </c>
      <c r="L20" s="12">
        <f t="shared" si="6"/>
        <v>0</v>
      </c>
      <c r="M20" s="14" t="b">
        <f t="shared" si="7"/>
        <v>0</v>
      </c>
      <c r="N20" s="12">
        <f t="shared" si="8"/>
        <v>0</v>
      </c>
      <c r="O20" s="14" t="b">
        <f t="shared" si="9"/>
        <v>0</v>
      </c>
      <c r="P20" s="12">
        <f t="shared" si="10"/>
        <v>0</v>
      </c>
      <c r="Q20" s="14" t="b">
        <f t="shared" si="11"/>
        <v>0</v>
      </c>
      <c r="R20" s="12">
        <f t="shared" si="12"/>
        <v>0</v>
      </c>
      <c r="S20" s="14" t="b">
        <f t="shared" si="13"/>
        <v>0</v>
      </c>
      <c r="T20" s="12">
        <f t="shared" si="14"/>
        <v>0</v>
      </c>
      <c r="U20" s="14" t="b">
        <f t="shared" si="15"/>
        <v>0</v>
      </c>
      <c r="V20" s="12">
        <f t="shared" si="16"/>
        <v>0</v>
      </c>
      <c r="W20" s="184">
        <f>IF(BC20="",1,VLOOKUP(BC20,data!$C$3:$D$10,2,FALSE))*(1+BD20)</f>
        <v>1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1"/>
      <c r="BD20" s="8"/>
      <c r="BE20" s="8"/>
      <c r="BF20" s="6">
        <f t="shared" si="17"/>
        <v>0</v>
      </c>
      <c r="BG20" s="6">
        <f t="shared" si="18"/>
        <v>0</v>
      </c>
      <c r="BH20" s="6">
        <f t="shared" si="19"/>
        <v>0</v>
      </c>
      <c r="BI20" s="6">
        <f t="shared" si="20"/>
        <v>0</v>
      </c>
      <c r="BJ20" s="6">
        <f t="shared" si="21"/>
        <v>0</v>
      </c>
      <c r="BL20" s="89">
        <f t="shared" si="22"/>
        <v>0</v>
      </c>
      <c r="BM20" s="89">
        <f t="shared" si="23"/>
        <v>0</v>
      </c>
      <c r="BN20" s="89">
        <f t="shared" si="24"/>
        <v>0</v>
      </c>
      <c r="BO20" s="89">
        <f t="shared" si="25"/>
        <v>0</v>
      </c>
      <c r="BP20" s="89">
        <f t="shared" si="26"/>
        <v>0</v>
      </c>
      <c r="BQ20" s="89">
        <f t="shared" si="27"/>
        <v>0</v>
      </c>
    </row>
    <row r="21" spans="1:69" ht="12.75" customHeight="1">
      <c r="A21" s="137"/>
      <c r="B21" s="138"/>
      <c r="C21" s="139"/>
      <c r="D21" s="140"/>
      <c r="E21" s="141">
        <f t="shared" si="2"/>
      </c>
      <c r="F21" s="141">
        <f t="shared" si="3"/>
      </c>
      <c r="G21" s="195"/>
      <c r="H21" s="142">
        <f>IF($C$8="",SUMIF(time100,D21,data!$M$16:$M$21),SUMIF(packs,$C$8,data!$M$10:$M$12))</f>
        <v>0</v>
      </c>
      <c r="I21" s="143">
        <f t="shared" si="4"/>
        <v>0</v>
      </c>
      <c r="J21" s="142">
        <f t="shared" si="1"/>
        <v>0</v>
      </c>
      <c r="K21" s="14" t="b">
        <f t="shared" si="5"/>
        <v>0</v>
      </c>
      <c r="L21" s="12">
        <f t="shared" si="6"/>
        <v>0</v>
      </c>
      <c r="M21" s="14" t="b">
        <f t="shared" si="7"/>
        <v>0</v>
      </c>
      <c r="N21" s="12">
        <f t="shared" si="8"/>
        <v>0</v>
      </c>
      <c r="O21" s="14" t="b">
        <f t="shared" si="9"/>
        <v>0</v>
      </c>
      <c r="P21" s="12">
        <f t="shared" si="10"/>
        <v>0</v>
      </c>
      <c r="Q21" s="14" t="b">
        <f t="shared" si="11"/>
        <v>0</v>
      </c>
      <c r="R21" s="12">
        <f t="shared" si="12"/>
        <v>0</v>
      </c>
      <c r="S21" s="14" t="b">
        <f t="shared" si="13"/>
        <v>0</v>
      </c>
      <c r="T21" s="12">
        <f t="shared" si="14"/>
        <v>0</v>
      </c>
      <c r="U21" s="14" t="b">
        <f t="shared" si="15"/>
        <v>0</v>
      </c>
      <c r="V21" s="12">
        <f t="shared" si="16"/>
        <v>0</v>
      </c>
      <c r="W21" s="184">
        <f>IF(BC21="",1,VLOOKUP(BC21,data!$C$3:$D$10,2,FALSE))*(1+BD21)</f>
        <v>1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1"/>
      <c r="BD21" s="8"/>
      <c r="BE21" s="8"/>
      <c r="BF21" s="6">
        <f t="shared" si="17"/>
        <v>0</v>
      </c>
      <c r="BG21" s="6">
        <f t="shared" si="18"/>
        <v>0</v>
      </c>
      <c r="BH21" s="6">
        <f t="shared" si="19"/>
        <v>0</v>
      </c>
      <c r="BI21" s="6">
        <f t="shared" si="20"/>
        <v>0</v>
      </c>
      <c r="BJ21" s="6">
        <f t="shared" si="21"/>
        <v>0</v>
      </c>
      <c r="BL21" s="89">
        <f t="shared" si="22"/>
        <v>0</v>
      </c>
      <c r="BM21" s="89">
        <f t="shared" si="23"/>
        <v>0</v>
      </c>
      <c r="BN21" s="89">
        <f t="shared" si="24"/>
        <v>0</v>
      </c>
      <c r="BO21" s="89">
        <f t="shared" si="25"/>
        <v>0</v>
      </c>
      <c r="BP21" s="89">
        <f t="shared" si="26"/>
        <v>0</v>
      </c>
      <c r="BQ21" s="89">
        <f t="shared" si="27"/>
        <v>0</v>
      </c>
    </row>
    <row r="22" spans="1:69" ht="12.75" customHeight="1">
      <c r="A22" s="137"/>
      <c r="B22" s="138"/>
      <c r="C22" s="139"/>
      <c r="D22" s="140"/>
      <c r="E22" s="141">
        <f t="shared" si="2"/>
      </c>
      <c r="F22" s="141">
        <f t="shared" si="3"/>
      </c>
      <c r="G22" s="195"/>
      <c r="H22" s="142">
        <f>IF($C$8="",SUMIF(time100,D22,data!$M$16:$M$21),SUMIF(packs,$C$8,data!$M$10:$M$12))</f>
        <v>0</v>
      </c>
      <c r="I22" s="143">
        <f t="shared" si="4"/>
        <v>0</v>
      </c>
      <c r="J22" s="142">
        <f t="shared" si="1"/>
        <v>0</v>
      </c>
      <c r="K22" s="14" t="b">
        <f t="shared" si="5"/>
        <v>0</v>
      </c>
      <c r="L22" s="12">
        <f t="shared" si="6"/>
        <v>0</v>
      </c>
      <c r="M22" s="14" t="b">
        <f t="shared" si="7"/>
        <v>0</v>
      </c>
      <c r="N22" s="12">
        <f t="shared" si="8"/>
        <v>0</v>
      </c>
      <c r="O22" s="14" t="b">
        <f t="shared" si="9"/>
        <v>0</v>
      </c>
      <c r="P22" s="12">
        <f t="shared" si="10"/>
        <v>0</v>
      </c>
      <c r="Q22" s="14" t="b">
        <f t="shared" si="11"/>
        <v>0</v>
      </c>
      <c r="R22" s="12">
        <f t="shared" si="12"/>
        <v>0</v>
      </c>
      <c r="S22" s="14" t="b">
        <f t="shared" si="13"/>
        <v>0</v>
      </c>
      <c r="T22" s="12">
        <f t="shared" si="14"/>
        <v>0</v>
      </c>
      <c r="U22" s="14" t="b">
        <f t="shared" si="15"/>
        <v>0</v>
      </c>
      <c r="V22" s="12">
        <f t="shared" si="16"/>
        <v>0</v>
      </c>
      <c r="W22" s="184">
        <f>IF(BC22="",1,VLOOKUP(BC22,data!$C$3:$D$10,2,FALSE))*(1+BD22)</f>
        <v>1</v>
      </c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1"/>
      <c r="BD22" s="8"/>
      <c r="BE22" s="8"/>
      <c r="BF22" s="6">
        <f t="shared" si="17"/>
        <v>0</v>
      </c>
      <c r="BG22" s="6">
        <f t="shared" si="18"/>
        <v>0</v>
      </c>
      <c r="BH22" s="6">
        <f t="shared" si="19"/>
        <v>0</v>
      </c>
      <c r="BI22" s="6">
        <f t="shared" si="20"/>
        <v>0</v>
      </c>
      <c r="BJ22" s="6">
        <f t="shared" si="21"/>
        <v>0</v>
      </c>
      <c r="BL22" s="89">
        <f t="shared" si="22"/>
        <v>0</v>
      </c>
      <c r="BM22" s="89">
        <f t="shared" si="23"/>
        <v>0</v>
      </c>
      <c r="BN22" s="89">
        <f t="shared" si="24"/>
        <v>0</v>
      </c>
      <c r="BO22" s="89">
        <f t="shared" si="25"/>
        <v>0</v>
      </c>
      <c r="BP22" s="89">
        <f t="shared" si="26"/>
        <v>0</v>
      </c>
      <c r="BQ22" s="89">
        <f t="shared" si="27"/>
        <v>0</v>
      </c>
    </row>
    <row r="23" spans="1:69" ht="12.75" customHeight="1">
      <c r="A23" s="137"/>
      <c r="B23" s="138"/>
      <c r="C23" s="139"/>
      <c r="D23" s="140"/>
      <c r="E23" s="141">
        <f t="shared" si="2"/>
      </c>
      <c r="F23" s="141">
        <f t="shared" si="3"/>
      </c>
      <c r="G23" s="195"/>
      <c r="H23" s="142">
        <f>IF($C$8="",SUMIF(time100,D23,data!$M$16:$M$21),SUMIF(packs,$C$8,data!$M$10:$M$12))</f>
        <v>0</v>
      </c>
      <c r="I23" s="143">
        <f t="shared" si="4"/>
        <v>0</v>
      </c>
      <c r="J23" s="142">
        <f t="shared" si="1"/>
        <v>0</v>
      </c>
      <c r="K23" s="14" t="b">
        <f t="shared" si="5"/>
        <v>0</v>
      </c>
      <c r="L23" s="12">
        <f t="shared" si="6"/>
        <v>0</v>
      </c>
      <c r="M23" s="14" t="b">
        <f t="shared" si="7"/>
        <v>0</v>
      </c>
      <c r="N23" s="12">
        <f t="shared" si="8"/>
        <v>0</v>
      </c>
      <c r="O23" s="14" t="b">
        <f t="shared" si="9"/>
        <v>0</v>
      </c>
      <c r="P23" s="12">
        <f t="shared" si="10"/>
        <v>0</v>
      </c>
      <c r="Q23" s="14" t="b">
        <f t="shared" si="11"/>
        <v>0</v>
      </c>
      <c r="R23" s="12">
        <f t="shared" si="12"/>
        <v>0</v>
      </c>
      <c r="S23" s="14" t="b">
        <f t="shared" si="13"/>
        <v>0</v>
      </c>
      <c r="T23" s="12">
        <f t="shared" si="14"/>
        <v>0</v>
      </c>
      <c r="U23" s="14" t="b">
        <f t="shared" si="15"/>
        <v>0</v>
      </c>
      <c r="V23" s="12">
        <f t="shared" si="16"/>
        <v>0</v>
      </c>
      <c r="W23" s="184">
        <f>IF(BC23="",1,VLOOKUP(BC23,data!$C$3:$D$10,2,FALSE))*(1+BD23)</f>
        <v>1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1"/>
      <c r="BD23" s="8"/>
      <c r="BE23" s="8"/>
      <c r="BF23" s="6">
        <f t="shared" si="17"/>
        <v>0</v>
      </c>
      <c r="BG23" s="6">
        <f t="shared" si="18"/>
        <v>0</v>
      </c>
      <c r="BH23" s="6">
        <f t="shared" si="19"/>
        <v>0</v>
      </c>
      <c r="BI23" s="6">
        <f t="shared" si="20"/>
        <v>0</v>
      </c>
      <c r="BJ23" s="6">
        <f t="shared" si="21"/>
        <v>0</v>
      </c>
      <c r="BL23" s="89">
        <f t="shared" si="22"/>
        <v>0</v>
      </c>
      <c r="BM23" s="89">
        <f t="shared" si="23"/>
        <v>0</v>
      </c>
      <c r="BN23" s="89">
        <f t="shared" si="24"/>
        <v>0</v>
      </c>
      <c r="BO23" s="89">
        <f t="shared" si="25"/>
        <v>0</v>
      </c>
      <c r="BP23" s="89">
        <f t="shared" si="26"/>
        <v>0</v>
      </c>
      <c r="BQ23" s="89">
        <f t="shared" si="27"/>
        <v>0</v>
      </c>
    </row>
    <row r="24" spans="1:69" ht="12.75" customHeight="1">
      <c r="A24" s="137"/>
      <c r="B24" s="138"/>
      <c r="C24" s="139"/>
      <c r="D24" s="140"/>
      <c r="E24" s="141">
        <f t="shared" si="2"/>
      </c>
      <c r="F24" s="141">
        <f t="shared" si="3"/>
      </c>
      <c r="G24" s="195"/>
      <c r="H24" s="142">
        <f>IF($C$8="",SUMIF(time100,D24,data!$M$16:$M$21),SUMIF(packs,$C$8,data!$M$10:$M$12))</f>
        <v>0</v>
      </c>
      <c r="I24" s="143">
        <f t="shared" si="4"/>
        <v>0</v>
      </c>
      <c r="J24" s="142">
        <f t="shared" si="1"/>
        <v>0</v>
      </c>
      <c r="K24" s="14" t="b">
        <f t="shared" si="5"/>
        <v>0</v>
      </c>
      <c r="L24" s="12">
        <f t="shared" si="6"/>
        <v>0</v>
      </c>
      <c r="M24" s="14" t="b">
        <f t="shared" si="7"/>
        <v>0</v>
      </c>
      <c r="N24" s="12">
        <f t="shared" si="8"/>
        <v>0</v>
      </c>
      <c r="O24" s="14" t="b">
        <f t="shared" si="9"/>
        <v>0</v>
      </c>
      <c r="P24" s="12">
        <f t="shared" si="10"/>
        <v>0</v>
      </c>
      <c r="Q24" s="14" t="b">
        <f t="shared" si="11"/>
        <v>0</v>
      </c>
      <c r="R24" s="12">
        <f t="shared" si="12"/>
        <v>0</v>
      </c>
      <c r="S24" s="14" t="b">
        <f t="shared" si="13"/>
        <v>0</v>
      </c>
      <c r="T24" s="12">
        <f t="shared" si="14"/>
        <v>0</v>
      </c>
      <c r="U24" s="14" t="b">
        <f t="shared" si="15"/>
        <v>0</v>
      </c>
      <c r="V24" s="12">
        <f t="shared" si="16"/>
        <v>0</v>
      </c>
      <c r="W24" s="184">
        <f>IF(BC24="",1,VLOOKUP(BC24,data!$C$3:$D$10,2,FALSE))*(1+BD24)</f>
        <v>1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1"/>
      <c r="BD24" s="8"/>
      <c r="BE24" s="8"/>
      <c r="BF24" s="6">
        <f t="shared" si="17"/>
        <v>0</v>
      </c>
      <c r="BG24" s="6">
        <f t="shared" si="18"/>
        <v>0</v>
      </c>
      <c r="BH24" s="6">
        <f t="shared" si="19"/>
        <v>0</v>
      </c>
      <c r="BI24" s="6">
        <f t="shared" si="20"/>
        <v>0</v>
      </c>
      <c r="BJ24" s="6">
        <f t="shared" si="21"/>
        <v>0</v>
      </c>
      <c r="BL24" s="89">
        <f t="shared" si="22"/>
        <v>0</v>
      </c>
      <c r="BM24" s="89">
        <f t="shared" si="23"/>
        <v>0</v>
      </c>
      <c r="BN24" s="89">
        <f t="shared" si="24"/>
        <v>0</v>
      </c>
      <c r="BO24" s="89">
        <f t="shared" si="25"/>
        <v>0</v>
      </c>
      <c r="BP24" s="89">
        <f t="shared" si="26"/>
        <v>0</v>
      </c>
      <c r="BQ24" s="89">
        <f t="shared" si="27"/>
        <v>0</v>
      </c>
    </row>
    <row r="25" spans="1:69" ht="12.75" customHeight="1">
      <c r="A25" s="137"/>
      <c r="B25" s="138"/>
      <c r="C25" s="139"/>
      <c r="D25" s="140"/>
      <c r="E25" s="141">
        <f t="shared" si="2"/>
      </c>
      <c r="F25" s="141">
        <f t="shared" si="3"/>
      </c>
      <c r="G25" s="195"/>
      <c r="H25" s="142">
        <f>IF($C$8="",SUMIF(time100,D25,data!$M$16:$M$21),SUMIF(packs,$C$8,data!$M$10:$M$12))</f>
        <v>0</v>
      </c>
      <c r="I25" s="143">
        <f t="shared" si="4"/>
        <v>0</v>
      </c>
      <c r="J25" s="142">
        <f t="shared" si="1"/>
        <v>0</v>
      </c>
      <c r="K25" s="14" t="b">
        <f t="shared" si="5"/>
        <v>0</v>
      </c>
      <c r="L25" s="12">
        <f t="shared" si="6"/>
        <v>0</v>
      </c>
      <c r="M25" s="14" t="b">
        <f t="shared" si="7"/>
        <v>0</v>
      </c>
      <c r="N25" s="12">
        <f t="shared" si="8"/>
        <v>0</v>
      </c>
      <c r="O25" s="14" t="b">
        <f t="shared" si="9"/>
        <v>0</v>
      </c>
      <c r="P25" s="12">
        <f t="shared" si="10"/>
        <v>0</v>
      </c>
      <c r="Q25" s="14" t="b">
        <f t="shared" si="11"/>
        <v>0</v>
      </c>
      <c r="R25" s="12">
        <f t="shared" si="12"/>
        <v>0</v>
      </c>
      <c r="S25" s="14" t="b">
        <f t="shared" si="13"/>
        <v>0</v>
      </c>
      <c r="T25" s="12">
        <f t="shared" si="14"/>
        <v>0</v>
      </c>
      <c r="U25" s="14" t="b">
        <f t="shared" si="15"/>
        <v>0</v>
      </c>
      <c r="V25" s="12">
        <f t="shared" si="16"/>
        <v>0</v>
      </c>
      <c r="W25" s="184">
        <f>IF(BC25="",1,VLOOKUP(BC25,data!$C$3:$D$10,2,FALSE))*(1+BD25)</f>
        <v>1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1"/>
      <c r="BD25" s="8"/>
      <c r="BE25" s="8"/>
      <c r="BF25" s="6">
        <f t="shared" si="17"/>
        <v>0</v>
      </c>
      <c r="BG25" s="6">
        <f t="shared" si="18"/>
        <v>0</v>
      </c>
      <c r="BH25" s="6">
        <f t="shared" si="19"/>
        <v>0</v>
      </c>
      <c r="BI25" s="6">
        <f t="shared" si="20"/>
        <v>0</v>
      </c>
      <c r="BJ25" s="6">
        <f t="shared" si="21"/>
        <v>0</v>
      </c>
      <c r="BL25" s="89">
        <f t="shared" si="22"/>
        <v>0</v>
      </c>
      <c r="BM25" s="89">
        <f t="shared" si="23"/>
        <v>0</v>
      </c>
      <c r="BN25" s="89">
        <f t="shared" si="24"/>
        <v>0</v>
      </c>
      <c r="BO25" s="89">
        <f t="shared" si="25"/>
        <v>0</v>
      </c>
      <c r="BP25" s="89">
        <f t="shared" si="26"/>
        <v>0</v>
      </c>
      <c r="BQ25" s="89">
        <f t="shared" si="27"/>
        <v>0</v>
      </c>
    </row>
    <row r="26" spans="1:69" ht="12.75" customHeight="1">
      <c r="A26" s="137"/>
      <c r="B26" s="138"/>
      <c r="C26" s="139"/>
      <c r="D26" s="140"/>
      <c r="E26" s="141">
        <f t="shared" si="2"/>
      </c>
      <c r="F26" s="141">
        <f t="shared" si="3"/>
      </c>
      <c r="G26" s="195"/>
      <c r="H26" s="142">
        <f>IF($C$8="",SUMIF(time100,D26,data!$M$16:$M$21),SUMIF(packs,$C$8,data!$M$10:$M$12))</f>
        <v>0</v>
      </c>
      <c r="I26" s="143">
        <f t="shared" si="4"/>
        <v>0</v>
      </c>
      <c r="J26" s="142">
        <f t="shared" si="1"/>
        <v>0</v>
      </c>
      <c r="K26" s="14" t="b">
        <f t="shared" si="5"/>
        <v>0</v>
      </c>
      <c r="L26" s="12">
        <f t="shared" si="6"/>
        <v>0</v>
      </c>
      <c r="M26" s="14" t="b">
        <f t="shared" si="7"/>
        <v>0</v>
      </c>
      <c r="N26" s="12">
        <f t="shared" si="8"/>
        <v>0</v>
      </c>
      <c r="O26" s="14" t="b">
        <f t="shared" si="9"/>
        <v>0</v>
      </c>
      <c r="P26" s="12">
        <f t="shared" si="10"/>
        <v>0</v>
      </c>
      <c r="Q26" s="14" t="b">
        <f t="shared" si="11"/>
        <v>0</v>
      </c>
      <c r="R26" s="12">
        <f t="shared" si="12"/>
        <v>0</v>
      </c>
      <c r="S26" s="14" t="b">
        <f t="shared" si="13"/>
        <v>0</v>
      </c>
      <c r="T26" s="12">
        <f t="shared" si="14"/>
        <v>0</v>
      </c>
      <c r="U26" s="14" t="b">
        <f t="shared" si="15"/>
        <v>0</v>
      </c>
      <c r="V26" s="12">
        <f t="shared" si="16"/>
        <v>0</v>
      </c>
      <c r="W26" s="184">
        <f>IF(BC26="",1,VLOOKUP(BC26,data!$C$3:$D$10,2,FALSE))*(1+BD26)</f>
        <v>1</v>
      </c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1"/>
      <c r="BD26" s="8"/>
      <c r="BE26" s="8"/>
      <c r="BF26" s="6">
        <f t="shared" si="17"/>
        <v>0</v>
      </c>
      <c r="BG26" s="6">
        <f t="shared" si="18"/>
        <v>0</v>
      </c>
      <c r="BH26" s="6">
        <f t="shared" si="19"/>
        <v>0</v>
      </c>
      <c r="BI26" s="6">
        <f t="shared" si="20"/>
        <v>0</v>
      </c>
      <c r="BJ26" s="6">
        <f t="shared" si="21"/>
        <v>0</v>
      </c>
      <c r="BL26" s="89">
        <f t="shared" si="22"/>
        <v>0</v>
      </c>
      <c r="BM26" s="89">
        <f t="shared" si="23"/>
        <v>0</v>
      </c>
      <c r="BN26" s="89">
        <f t="shared" si="24"/>
        <v>0</v>
      </c>
      <c r="BO26" s="89">
        <f t="shared" si="25"/>
        <v>0</v>
      </c>
      <c r="BP26" s="89">
        <f t="shared" si="26"/>
        <v>0</v>
      </c>
      <c r="BQ26" s="89">
        <f t="shared" si="27"/>
        <v>0</v>
      </c>
    </row>
    <row r="27" spans="1:69" ht="12.75" customHeight="1">
      <c r="A27" s="137"/>
      <c r="B27" s="138"/>
      <c r="C27" s="139"/>
      <c r="D27" s="140"/>
      <c r="E27" s="141">
        <f t="shared" si="2"/>
      </c>
      <c r="F27" s="141">
        <f t="shared" si="3"/>
      </c>
      <c r="G27" s="195"/>
      <c r="H27" s="142">
        <f>IF($C$8="",SUMIF(time100,D27,data!$M$16:$M$21),SUMIF(packs,$C$8,data!$M$10:$M$12))</f>
        <v>0</v>
      </c>
      <c r="I27" s="143">
        <f t="shared" si="4"/>
        <v>0</v>
      </c>
      <c r="J27" s="142">
        <f t="shared" si="1"/>
        <v>0</v>
      </c>
      <c r="K27" s="14" t="b">
        <f t="shared" si="5"/>
        <v>0</v>
      </c>
      <c r="L27" s="12">
        <f t="shared" si="6"/>
        <v>0</v>
      </c>
      <c r="M27" s="14" t="b">
        <f t="shared" si="7"/>
        <v>0</v>
      </c>
      <c r="N27" s="12">
        <f t="shared" si="8"/>
        <v>0</v>
      </c>
      <c r="O27" s="14" t="b">
        <f t="shared" si="9"/>
        <v>0</v>
      </c>
      <c r="P27" s="12">
        <f t="shared" si="10"/>
        <v>0</v>
      </c>
      <c r="Q27" s="14" t="b">
        <f t="shared" si="11"/>
        <v>0</v>
      </c>
      <c r="R27" s="12">
        <f t="shared" si="12"/>
        <v>0</v>
      </c>
      <c r="S27" s="14" t="b">
        <f t="shared" si="13"/>
        <v>0</v>
      </c>
      <c r="T27" s="12">
        <f t="shared" si="14"/>
        <v>0</v>
      </c>
      <c r="U27" s="14" t="b">
        <f t="shared" si="15"/>
        <v>0</v>
      </c>
      <c r="V27" s="12">
        <f t="shared" si="16"/>
        <v>0</v>
      </c>
      <c r="W27" s="184">
        <f>IF(BC27="",1,VLOOKUP(BC27,data!$C$3:$D$10,2,FALSE))*(1+BD27)</f>
        <v>1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"/>
      <c r="BD27" s="8"/>
      <c r="BE27" s="8"/>
      <c r="BF27" s="6">
        <f t="shared" si="17"/>
        <v>0</v>
      </c>
      <c r="BG27" s="6">
        <f t="shared" si="18"/>
        <v>0</v>
      </c>
      <c r="BH27" s="6">
        <f t="shared" si="19"/>
        <v>0</v>
      </c>
      <c r="BI27" s="6">
        <f t="shared" si="20"/>
        <v>0</v>
      </c>
      <c r="BJ27" s="6">
        <f t="shared" si="21"/>
        <v>0</v>
      </c>
      <c r="BL27" s="89">
        <f t="shared" si="22"/>
        <v>0</v>
      </c>
      <c r="BM27" s="89">
        <f t="shared" si="23"/>
        <v>0</v>
      </c>
      <c r="BN27" s="89">
        <f t="shared" si="24"/>
        <v>0</v>
      </c>
      <c r="BO27" s="89">
        <f t="shared" si="25"/>
        <v>0</v>
      </c>
      <c r="BP27" s="89">
        <f t="shared" si="26"/>
        <v>0</v>
      </c>
      <c r="BQ27" s="89">
        <f t="shared" si="27"/>
        <v>0</v>
      </c>
    </row>
    <row r="28" spans="1:69" ht="12.75" customHeight="1">
      <c r="A28" s="137"/>
      <c r="B28" s="138"/>
      <c r="C28" s="139"/>
      <c r="D28" s="140"/>
      <c r="E28" s="141">
        <f t="shared" si="2"/>
      </c>
      <c r="F28" s="141">
        <f t="shared" si="3"/>
      </c>
      <c r="G28" s="195"/>
      <c r="H28" s="142">
        <f>IF($C$8="",SUMIF(time100,D28,data!$M$16:$M$21),SUMIF(packs,$C$8,data!$M$10:$M$12))</f>
        <v>0</v>
      </c>
      <c r="I28" s="143">
        <f t="shared" si="4"/>
        <v>0</v>
      </c>
      <c r="J28" s="142">
        <f t="shared" si="1"/>
        <v>0</v>
      </c>
      <c r="K28" s="14" t="b">
        <f t="shared" si="5"/>
        <v>0</v>
      </c>
      <c r="L28" s="12">
        <f t="shared" si="6"/>
        <v>0</v>
      </c>
      <c r="M28" s="14" t="b">
        <f t="shared" si="7"/>
        <v>0</v>
      </c>
      <c r="N28" s="12">
        <f t="shared" si="8"/>
        <v>0</v>
      </c>
      <c r="O28" s="14" t="b">
        <f t="shared" si="9"/>
        <v>0</v>
      </c>
      <c r="P28" s="12">
        <f t="shared" si="10"/>
        <v>0</v>
      </c>
      <c r="Q28" s="14" t="b">
        <f t="shared" si="11"/>
        <v>0</v>
      </c>
      <c r="R28" s="12">
        <f t="shared" si="12"/>
        <v>0</v>
      </c>
      <c r="S28" s="14" t="b">
        <f t="shared" si="13"/>
        <v>0</v>
      </c>
      <c r="T28" s="12">
        <f t="shared" si="14"/>
        <v>0</v>
      </c>
      <c r="U28" s="14" t="b">
        <f t="shared" si="15"/>
        <v>0</v>
      </c>
      <c r="V28" s="12">
        <f t="shared" si="16"/>
        <v>0</v>
      </c>
      <c r="W28" s="184">
        <f>IF(BC28="",1,VLOOKUP(BC28,data!$C$3:$D$10,2,FALSE))*(1+BD28)</f>
        <v>1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1"/>
      <c r="BD28" s="8"/>
      <c r="BE28" s="8"/>
      <c r="BF28" s="6">
        <f t="shared" si="17"/>
        <v>0</v>
      </c>
      <c r="BG28" s="6">
        <f t="shared" si="18"/>
        <v>0</v>
      </c>
      <c r="BH28" s="6">
        <f t="shared" si="19"/>
        <v>0</v>
      </c>
      <c r="BI28" s="6">
        <f t="shared" si="20"/>
        <v>0</v>
      </c>
      <c r="BJ28" s="6">
        <f t="shared" si="21"/>
        <v>0</v>
      </c>
      <c r="BL28" s="89">
        <f t="shared" si="22"/>
        <v>0</v>
      </c>
      <c r="BM28" s="89">
        <f t="shared" si="23"/>
        <v>0</v>
      </c>
      <c r="BN28" s="89">
        <f t="shared" si="24"/>
        <v>0</v>
      </c>
      <c r="BO28" s="89">
        <f t="shared" si="25"/>
        <v>0</v>
      </c>
      <c r="BP28" s="89">
        <f t="shared" si="26"/>
        <v>0</v>
      </c>
      <c r="BQ28" s="89">
        <f t="shared" si="27"/>
        <v>0</v>
      </c>
    </row>
    <row r="29" spans="1:69" ht="12.75" customHeight="1">
      <c r="A29" s="137"/>
      <c r="B29" s="138"/>
      <c r="C29" s="139"/>
      <c r="D29" s="140"/>
      <c r="E29" s="141">
        <f t="shared" si="2"/>
      </c>
      <c r="F29" s="141">
        <f t="shared" si="3"/>
      </c>
      <c r="G29" s="195"/>
      <c r="H29" s="142">
        <f>IF($C$8="",SUMIF(time100,D29,data!$M$16:$M$21),SUMIF(packs,$C$8,data!$M$10:$M$12))</f>
        <v>0</v>
      </c>
      <c r="I29" s="143">
        <f t="shared" si="4"/>
        <v>0</v>
      </c>
      <c r="J29" s="142">
        <f t="shared" si="1"/>
        <v>0</v>
      </c>
      <c r="K29" s="14" t="b">
        <f t="shared" si="5"/>
        <v>0</v>
      </c>
      <c r="L29" s="12">
        <f t="shared" si="6"/>
        <v>0</v>
      </c>
      <c r="M29" s="14" t="b">
        <f t="shared" si="7"/>
        <v>0</v>
      </c>
      <c r="N29" s="12">
        <f t="shared" si="8"/>
        <v>0</v>
      </c>
      <c r="O29" s="14" t="b">
        <f t="shared" si="9"/>
        <v>0</v>
      </c>
      <c r="P29" s="12">
        <f t="shared" si="10"/>
        <v>0</v>
      </c>
      <c r="Q29" s="14" t="b">
        <f t="shared" si="11"/>
        <v>0</v>
      </c>
      <c r="R29" s="12">
        <f t="shared" si="12"/>
        <v>0</v>
      </c>
      <c r="S29" s="14" t="b">
        <f t="shared" si="13"/>
        <v>0</v>
      </c>
      <c r="T29" s="12">
        <f t="shared" si="14"/>
        <v>0</v>
      </c>
      <c r="U29" s="14" t="b">
        <f t="shared" si="15"/>
        <v>0</v>
      </c>
      <c r="V29" s="12">
        <f t="shared" si="16"/>
        <v>0</v>
      </c>
      <c r="W29" s="184">
        <f>IF(BC29="",1,VLOOKUP(BC29,data!$C$3:$D$10,2,FALSE))*(1+BD29)</f>
        <v>1</v>
      </c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1"/>
      <c r="BD29" s="8"/>
      <c r="BE29" s="8"/>
      <c r="BF29" s="6">
        <f t="shared" si="17"/>
        <v>0</v>
      </c>
      <c r="BG29" s="6">
        <f t="shared" si="18"/>
        <v>0</v>
      </c>
      <c r="BH29" s="6">
        <f t="shared" si="19"/>
        <v>0</v>
      </c>
      <c r="BI29" s="6">
        <f t="shared" si="20"/>
        <v>0</v>
      </c>
      <c r="BJ29" s="6">
        <f t="shared" si="21"/>
        <v>0</v>
      </c>
      <c r="BL29" s="89">
        <f t="shared" si="22"/>
        <v>0</v>
      </c>
      <c r="BM29" s="89">
        <f t="shared" si="23"/>
        <v>0</v>
      </c>
      <c r="BN29" s="89">
        <f t="shared" si="24"/>
        <v>0</v>
      </c>
      <c r="BO29" s="89">
        <f t="shared" si="25"/>
        <v>0</v>
      </c>
      <c r="BP29" s="89">
        <f t="shared" si="26"/>
        <v>0</v>
      </c>
      <c r="BQ29" s="89">
        <f t="shared" si="27"/>
        <v>0</v>
      </c>
    </row>
    <row r="30" spans="1:69" ht="12.75" customHeight="1">
      <c r="A30" s="137"/>
      <c r="B30" s="138"/>
      <c r="C30" s="139"/>
      <c r="D30" s="140"/>
      <c r="E30" s="141">
        <f t="shared" si="2"/>
      </c>
      <c r="F30" s="141">
        <f t="shared" si="3"/>
      </c>
      <c r="G30" s="195"/>
      <c r="H30" s="142">
        <f>IF($C$8="",SUMIF(time100,D30,data!$M$16:$M$21),SUMIF(packs,$C$8,data!$M$10:$M$12))</f>
        <v>0</v>
      </c>
      <c r="I30" s="143">
        <f t="shared" si="4"/>
        <v>0</v>
      </c>
      <c r="J30" s="142">
        <f t="shared" si="1"/>
        <v>0</v>
      </c>
      <c r="K30" s="14" t="b">
        <f t="shared" si="5"/>
        <v>0</v>
      </c>
      <c r="L30" s="12">
        <f t="shared" si="6"/>
        <v>0</v>
      </c>
      <c r="M30" s="14" t="b">
        <f t="shared" si="7"/>
        <v>0</v>
      </c>
      <c r="N30" s="12">
        <f t="shared" si="8"/>
        <v>0</v>
      </c>
      <c r="O30" s="14" t="b">
        <f t="shared" si="9"/>
        <v>0</v>
      </c>
      <c r="P30" s="12">
        <f t="shared" si="10"/>
        <v>0</v>
      </c>
      <c r="Q30" s="14" t="b">
        <f t="shared" si="11"/>
        <v>0</v>
      </c>
      <c r="R30" s="12">
        <f t="shared" si="12"/>
        <v>0</v>
      </c>
      <c r="S30" s="14" t="b">
        <f t="shared" si="13"/>
        <v>0</v>
      </c>
      <c r="T30" s="12">
        <f t="shared" si="14"/>
        <v>0</v>
      </c>
      <c r="U30" s="14" t="b">
        <f t="shared" si="15"/>
        <v>0</v>
      </c>
      <c r="V30" s="12">
        <f t="shared" si="16"/>
        <v>0</v>
      </c>
      <c r="W30" s="184">
        <f>IF(BC30="",1,VLOOKUP(BC30,data!$C$3:$D$10,2,FALSE))*(1+BD30)</f>
        <v>1</v>
      </c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1"/>
      <c r="BD30" s="8"/>
      <c r="BE30" s="8"/>
      <c r="BF30" s="6">
        <f t="shared" si="17"/>
        <v>0</v>
      </c>
      <c r="BG30" s="6">
        <f t="shared" si="18"/>
        <v>0</v>
      </c>
      <c r="BH30" s="6">
        <f t="shared" si="19"/>
        <v>0</v>
      </c>
      <c r="BI30" s="6">
        <f t="shared" si="20"/>
        <v>0</v>
      </c>
      <c r="BJ30" s="6">
        <f t="shared" si="21"/>
        <v>0</v>
      </c>
      <c r="BL30" s="89">
        <f t="shared" si="22"/>
        <v>0</v>
      </c>
      <c r="BM30" s="89">
        <f t="shared" si="23"/>
        <v>0</v>
      </c>
      <c r="BN30" s="89">
        <f t="shared" si="24"/>
        <v>0</v>
      </c>
      <c r="BO30" s="89">
        <f t="shared" si="25"/>
        <v>0</v>
      </c>
      <c r="BP30" s="89">
        <f t="shared" si="26"/>
        <v>0</v>
      </c>
      <c r="BQ30" s="89">
        <f t="shared" si="27"/>
        <v>0</v>
      </c>
    </row>
    <row r="31" spans="1:69" ht="12.75" customHeight="1">
      <c r="A31" s="137"/>
      <c r="B31" s="138"/>
      <c r="C31" s="139"/>
      <c r="D31" s="140"/>
      <c r="E31" s="141">
        <f t="shared" si="2"/>
      </c>
      <c r="F31" s="141">
        <f t="shared" si="3"/>
      </c>
      <c r="G31" s="195"/>
      <c r="H31" s="142">
        <f>IF($C$8="",SUMIF(time100,D31,data!$M$16:$M$21),SUMIF(packs,$C$8,data!$M$10:$M$12))</f>
        <v>0</v>
      </c>
      <c r="I31" s="143">
        <f t="shared" si="4"/>
        <v>0</v>
      </c>
      <c r="J31" s="142">
        <f t="shared" si="1"/>
        <v>0</v>
      </c>
      <c r="K31" s="14" t="b">
        <f t="shared" si="5"/>
        <v>0</v>
      </c>
      <c r="L31" s="12">
        <f t="shared" si="6"/>
        <v>0</v>
      </c>
      <c r="M31" s="14" t="b">
        <f t="shared" si="7"/>
        <v>0</v>
      </c>
      <c r="N31" s="12">
        <f t="shared" si="8"/>
        <v>0</v>
      </c>
      <c r="O31" s="14" t="b">
        <f t="shared" si="9"/>
        <v>0</v>
      </c>
      <c r="P31" s="12">
        <f t="shared" si="10"/>
        <v>0</v>
      </c>
      <c r="Q31" s="14" t="b">
        <f t="shared" si="11"/>
        <v>0</v>
      </c>
      <c r="R31" s="12">
        <f t="shared" si="12"/>
        <v>0</v>
      </c>
      <c r="S31" s="14" t="b">
        <f t="shared" si="13"/>
        <v>0</v>
      </c>
      <c r="T31" s="12">
        <f t="shared" si="14"/>
        <v>0</v>
      </c>
      <c r="U31" s="14" t="b">
        <f t="shared" si="15"/>
        <v>0</v>
      </c>
      <c r="V31" s="12">
        <f t="shared" si="16"/>
        <v>0</v>
      </c>
      <c r="W31" s="184">
        <f>IF(BC31="",1,VLOOKUP(BC31,data!$C$3:$D$10,2,FALSE))*(1+BD31)</f>
        <v>1</v>
      </c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1"/>
      <c r="BD31" s="8"/>
      <c r="BE31" s="8"/>
      <c r="BF31" s="6">
        <f t="shared" si="17"/>
        <v>0</v>
      </c>
      <c r="BG31" s="6">
        <f t="shared" si="18"/>
        <v>0</v>
      </c>
      <c r="BH31" s="6">
        <f t="shared" si="19"/>
        <v>0</v>
      </c>
      <c r="BI31" s="6">
        <f t="shared" si="20"/>
        <v>0</v>
      </c>
      <c r="BJ31" s="6">
        <f t="shared" si="21"/>
        <v>0</v>
      </c>
      <c r="BL31" s="89">
        <f t="shared" si="22"/>
        <v>0</v>
      </c>
      <c r="BM31" s="89">
        <f t="shared" si="23"/>
        <v>0</v>
      </c>
      <c r="BN31" s="89">
        <f t="shared" si="24"/>
        <v>0</v>
      </c>
      <c r="BO31" s="89">
        <f t="shared" si="25"/>
        <v>0</v>
      </c>
      <c r="BP31" s="89">
        <f t="shared" si="26"/>
        <v>0</v>
      </c>
      <c r="BQ31" s="89">
        <f t="shared" si="27"/>
        <v>0</v>
      </c>
    </row>
    <row r="32" spans="1:69" ht="12.75" customHeight="1">
      <c r="A32" s="137"/>
      <c r="B32" s="138"/>
      <c r="C32" s="139"/>
      <c r="D32" s="140"/>
      <c r="E32" s="141">
        <f t="shared" si="2"/>
      </c>
      <c r="F32" s="141">
        <f t="shared" si="3"/>
      </c>
      <c r="G32" s="195"/>
      <c r="H32" s="142">
        <f>IF($C$8="",SUMIF(time100,D32,data!$M$16:$M$21),SUMIF(packs,$C$8,data!$M$10:$M$12))</f>
        <v>0</v>
      </c>
      <c r="I32" s="143">
        <f t="shared" si="4"/>
        <v>0</v>
      </c>
      <c r="J32" s="142">
        <f t="shared" si="1"/>
        <v>0</v>
      </c>
      <c r="K32" s="14" t="b">
        <f t="shared" si="5"/>
        <v>0</v>
      </c>
      <c r="L32" s="12">
        <f t="shared" si="6"/>
        <v>0</v>
      </c>
      <c r="M32" s="14" t="b">
        <f t="shared" si="7"/>
        <v>0</v>
      </c>
      <c r="N32" s="12">
        <f t="shared" si="8"/>
        <v>0</v>
      </c>
      <c r="O32" s="14" t="b">
        <f t="shared" si="9"/>
        <v>0</v>
      </c>
      <c r="P32" s="12">
        <f t="shared" si="10"/>
        <v>0</v>
      </c>
      <c r="Q32" s="14" t="b">
        <f t="shared" si="11"/>
        <v>0</v>
      </c>
      <c r="R32" s="12">
        <f t="shared" si="12"/>
        <v>0</v>
      </c>
      <c r="S32" s="14" t="b">
        <f t="shared" si="13"/>
        <v>0</v>
      </c>
      <c r="T32" s="12">
        <f t="shared" si="14"/>
        <v>0</v>
      </c>
      <c r="U32" s="14" t="b">
        <f t="shared" si="15"/>
        <v>0</v>
      </c>
      <c r="V32" s="12">
        <f t="shared" si="16"/>
        <v>0</v>
      </c>
      <c r="W32" s="184">
        <f>IF(BC32="",1,VLOOKUP(BC32,data!$C$3:$D$10,2,FALSE))*(1+BD32)</f>
        <v>1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1"/>
      <c r="BD32" s="8"/>
      <c r="BE32" s="8"/>
      <c r="BF32" s="6">
        <f t="shared" si="17"/>
        <v>0</v>
      </c>
      <c r="BG32" s="6">
        <f t="shared" si="18"/>
        <v>0</v>
      </c>
      <c r="BH32" s="6">
        <f t="shared" si="19"/>
        <v>0</v>
      </c>
      <c r="BI32" s="6">
        <f t="shared" si="20"/>
        <v>0</v>
      </c>
      <c r="BJ32" s="6">
        <f t="shared" si="21"/>
        <v>0</v>
      </c>
      <c r="BL32" s="89">
        <f t="shared" si="22"/>
        <v>0</v>
      </c>
      <c r="BM32" s="89">
        <f t="shared" si="23"/>
        <v>0</v>
      </c>
      <c r="BN32" s="89">
        <f t="shared" si="24"/>
        <v>0</v>
      </c>
      <c r="BO32" s="89">
        <f t="shared" si="25"/>
        <v>0</v>
      </c>
      <c r="BP32" s="89">
        <f t="shared" si="26"/>
        <v>0</v>
      </c>
      <c r="BQ32" s="89">
        <f t="shared" si="27"/>
        <v>0</v>
      </c>
    </row>
    <row r="33" spans="1:69" ht="12.75" customHeight="1">
      <c r="A33" s="137"/>
      <c r="B33" s="138"/>
      <c r="C33" s="139"/>
      <c r="D33" s="140"/>
      <c r="E33" s="141">
        <f t="shared" si="2"/>
      </c>
      <c r="F33" s="141">
        <f t="shared" si="3"/>
      </c>
      <c r="G33" s="195"/>
      <c r="H33" s="142">
        <f>IF($C$8="",SUMIF(time100,D33,data!$M$16:$M$21),SUMIF(packs,$C$8,data!$M$10:$M$12))</f>
        <v>0</v>
      </c>
      <c r="I33" s="143">
        <f t="shared" si="4"/>
        <v>0</v>
      </c>
      <c r="J33" s="142">
        <f t="shared" si="1"/>
        <v>0</v>
      </c>
      <c r="K33" s="14" t="b">
        <f t="shared" si="5"/>
        <v>0</v>
      </c>
      <c r="L33" s="12">
        <f t="shared" si="6"/>
        <v>0</v>
      </c>
      <c r="M33" s="14" t="b">
        <f t="shared" si="7"/>
        <v>0</v>
      </c>
      <c r="N33" s="12">
        <f t="shared" si="8"/>
        <v>0</v>
      </c>
      <c r="O33" s="14" t="b">
        <f t="shared" si="9"/>
        <v>0</v>
      </c>
      <c r="P33" s="12">
        <f t="shared" si="10"/>
        <v>0</v>
      </c>
      <c r="Q33" s="14" t="b">
        <f t="shared" si="11"/>
        <v>0</v>
      </c>
      <c r="R33" s="12">
        <f t="shared" si="12"/>
        <v>0</v>
      </c>
      <c r="S33" s="14" t="b">
        <f t="shared" si="13"/>
        <v>0</v>
      </c>
      <c r="T33" s="12">
        <f t="shared" si="14"/>
        <v>0</v>
      </c>
      <c r="U33" s="14" t="b">
        <f t="shared" si="15"/>
        <v>0</v>
      </c>
      <c r="V33" s="12">
        <f t="shared" si="16"/>
        <v>0</v>
      </c>
      <c r="W33" s="184">
        <f>IF(BC33="",1,VLOOKUP(BC33,data!$C$3:$D$10,2,FALSE))*(1+BD33)</f>
        <v>1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1"/>
      <c r="BD33" s="8"/>
      <c r="BE33" s="8"/>
      <c r="BF33" s="6">
        <f t="shared" si="17"/>
        <v>0</v>
      </c>
      <c r="BG33" s="6">
        <f t="shared" si="18"/>
        <v>0</v>
      </c>
      <c r="BH33" s="6">
        <f t="shared" si="19"/>
        <v>0</v>
      </c>
      <c r="BI33" s="6">
        <f t="shared" si="20"/>
        <v>0</v>
      </c>
      <c r="BJ33" s="6">
        <f t="shared" si="21"/>
        <v>0</v>
      </c>
      <c r="BL33" s="89">
        <f t="shared" si="22"/>
        <v>0</v>
      </c>
      <c r="BM33" s="89">
        <f t="shared" si="23"/>
        <v>0</v>
      </c>
      <c r="BN33" s="89">
        <f t="shared" si="24"/>
        <v>0</v>
      </c>
      <c r="BO33" s="89">
        <f t="shared" si="25"/>
        <v>0</v>
      </c>
      <c r="BP33" s="89">
        <f t="shared" si="26"/>
        <v>0</v>
      </c>
      <c r="BQ33" s="89">
        <f t="shared" si="27"/>
        <v>0</v>
      </c>
    </row>
    <row r="34" spans="1:69" ht="12.75" customHeight="1">
      <c r="A34" s="137"/>
      <c r="B34" s="138"/>
      <c r="C34" s="139"/>
      <c r="D34" s="140"/>
      <c r="E34" s="141">
        <f t="shared" si="2"/>
      </c>
      <c r="F34" s="141">
        <f t="shared" si="3"/>
      </c>
      <c r="G34" s="195"/>
      <c r="H34" s="142">
        <f>IF($C$8="",SUMIF(time100,D34,data!$M$16:$M$21),SUMIF(packs,$C$8,data!$M$10:$M$12))</f>
        <v>0</v>
      </c>
      <c r="I34" s="143">
        <f t="shared" si="4"/>
        <v>0</v>
      </c>
      <c r="J34" s="142">
        <f t="shared" si="1"/>
        <v>0</v>
      </c>
      <c r="K34" s="14" t="b">
        <f t="shared" si="5"/>
        <v>0</v>
      </c>
      <c r="L34" s="12">
        <f t="shared" si="6"/>
        <v>0</v>
      </c>
      <c r="M34" s="14" t="b">
        <f t="shared" si="7"/>
        <v>0</v>
      </c>
      <c r="N34" s="12">
        <f t="shared" si="8"/>
        <v>0</v>
      </c>
      <c r="O34" s="14" t="b">
        <f t="shared" si="9"/>
        <v>0</v>
      </c>
      <c r="P34" s="12">
        <f t="shared" si="10"/>
        <v>0</v>
      </c>
      <c r="Q34" s="14" t="b">
        <f t="shared" si="11"/>
        <v>0</v>
      </c>
      <c r="R34" s="12">
        <f t="shared" si="12"/>
        <v>0</v>
      </c>
      <c r="S34" s="14" t="b">
        <f t="shared" si="13"/>
        <v>0</v>
      </c>
      <c r="T34" s="12">
        <f t="shared" si="14"/>
        <v>0</v>
      </c>
      <c r="U34" s="14" t="b">
        <f t="shared" si="15"/>
        <v>0</v>
      </c>
      <c r="V34" s="12">
        <f t="shared" si="16"/>
        <v>0</v>
      </c>
      <c r="W34" s="184">
        <f>IF(BC34="",1,VLOOKUP(BC34,data!$C$3:$D$10,2,FALSE))*(1+BD34)</f>
        <v>1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1"/>
      <c r="BD34" s="8"/>
      <c r="BE34" s="8"/>
      <c r="BF34" s="6">
        <f t="shared" si="17"/>
        <v>0</v>
      </c>
      <c r="BG34" s="6">
        <f t="shared" si="18"/>
        <v>0</v>
      </c>
      <c r="BH34" s="6">
        <f t="shared" si="19"/>
        <v>0</v>
      </c>
      <c r="BI34" s="6">
        <f t="shared" si="20"/>
        <v>0</v>
      </c>
      <c r="BJ34" s="6">
        <f t="shared" si="21"/>
        <v>0</v>
      </c>
      <c r="BL34" s="89">
        <f t="shared" si="22"/>
        <v>0</v>
      </c>
      <c r="BM34" s="89">
        <f t="shared" si="23"/>
        <v>0</v>
      </c>
      <c r="BN34" s="89">
        <f t="shared" si="24"/>
        <v>0</v>
      </c>
      <c r="BO34" s="89">
        <f t="shared" si="25"/>
        <v>0</v>
      </c>
      <c r="BP34" s="89">
        <f t="shared" si="26"/>
        <v>0</v>
      </c>
      <c r="BQ34" s="89">
        <f t="shared" si="27"/>
        <v>0</v>
      </c>
    </row>
    <row r="35" spans="1:69" ht="12.75" customHeight="1">
      <c r="A35" s="137"/>
      <c r="B35" s="138"/>
      <c r="C35" s="139"/>
      <c r="D35" s="140"/>
      <c r="E35" s="141">
        <f t="shared" si="2"/>
      </c>
      <c r="F35" s="141">
        <f t="shared" si="3"/>
      </c>
      <c r="G35" s="195"/>
      <c r="H35" s="142">
        <f>IF($C$8="",SUMIF(time100,D35,data!$M$16:$M$21),SUMIF(packs,$C$8,data!$M$10:$M$12))</f>
        <v>0</v>
      </c>
      <c r="I35" s="143">
        <f t="shared" si="4"/>
        <v>0</v>
      </c>
      <c r="J35" s="142">
        <f t="shared" si="1"/>
        <v>0</v>
      </c>
      <c r="K35" s="14" t="b">
        <f t="shared" si="5"/>
        <v>0</v>
      </c>
      <c r="L35" s="12">
        <f t="shared" si="6"/>
        <v>0</v>
      </c>
      <c r="M35" s="14" t="b">
        <f t="shared" si="7"/>
        <v>0</v>
      </c>
      <c r="N35" s="12">
        <f t="shared" si="8"/>
        <v>0</v>
      </c>
      <c r="O35" s="14" t="b">
        <f t="shared" si="9"/>
        <v>0</v>
      </c>
      <c r="P35" s="12">
        <f t="shared" si="10"/>
        <v>0</v>
      </c>
      <c r="Q35" s="14" t="b">
        <f t="shared" si="11"/>
        <v>0</v>
      </c>
      <c r="R35" s="12">
        <f t="shared" si="12"/>
        <v>0</v>
      </c>
      <c r="S35" s="14" t="b">
        <f t="shared" si="13"/>
        <v>0</v>
      </c>
      <c r="T35" s="12">
        <f t="shared" si="14"/>
        <v>0</v>
      </c>
      <c r="U35" s="14" t="b">
        <f t="shared" si="15"/>
        <v>0</v>
      </c>
      <c r="V35" s="12">
        <f t="shared" si="16"/>
        <v>0</v>
      </c>
      <c r="W35" s="184">
        <f>IF(BC35="",1,VLOOKUP(BC35,data!$C$3:$D$10,2,FALSE))*(1+BD35)</f>
        <v>1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1"/>
      <c r="BD35" s="8"/>
      <c r="BE35" s="8"/>
      <c r="BF35" s="6">
        <f t="shared" si="17"/>
        <v>0</v>
      </c>
      <c r="BG35" s="6">
        <f t="shared" si="18"/>
        <v>0</v>
      </c>
      <c r="BH35" s="6">
        <f t="shared" si="19"/>
        <v>0</v>
      </c>
      <c r="BI35" s="6">
        <f t="shared" si="20"/>
        <v>0</v>
      </c>
      <c r="BJ35" s="6">
        <f t="shared" si="21"/>
        <v>0</v>
      </c>
      <c r="BL35" s="89">
        <f t="shared" si="22"/>
        <v>0</v>
      </c>
      <c r="BM35" s="89">
        <f t="shared" si="23"/>
        <v>0</v>
      </c>
      <c r="BN35" s="89">
        <f t="shared" si="24"/>
        <v>0</v>
      </c>
      <c r="BO35" s="89">
        <f t="shared" si="25"/>
        <v>0</v>
      </c>
      <c r="BP35" s="89">
        <f t="shared" si="26"/>
        <v>0</v>
      </c>
      <c r="BQ35" s="89">
        <f t="shared" si="27"/>
        <v>0</v>
      </c>
    </row>
    <row r="36" spans="1:69" ht="12.75" customHeight="1">
      <c r="A36" s="137"/>
      <c r="B36" s="138"/>
      <c r="C36" s="139"/>
      <c r="D36" s="140"/>
      <c r="E36" s="141">
        <f t="shared" si="2"/>
      </c>
      <c r="F36" s="141">
        <f t="shared" si="3"/>
      </c>
      <c r="G36" s="195"/>
      <c r="H36" s="142">
        <f>IF($C$8="",SUMIF(time100,D36,data!$M$16:$M$21),SUMIF(packs,$C$8,data!$M$10:$M$12))</f>
        <v>0</v>
      </c>
      <c r="I36" s="143">
        <f t="shared" si="4"/>
        <v>0</v>
      </c>
      <c r="J36" s="142">
        <f t="shared" si="1"/>
        <v>0</v>
      </c>
      <c r="K36" s="14" t="b">
        <f t="shared" si="5"/>
        <v>0</v>
      </c>
      <c r="L36" s="12">
        <f t="shared" si="6"/>
        <v>0</v>
      </c>
      <c r="M36" s="14" t="b">
        <f t="shared" si="7"/>
        <v>0</v>
      </c>
      <c r="N36" s="12">
        <f t="shared" si="8"/>
        <v>0</v>
      </c>
      <c r="O36" s="14" t="b">
        <f t="shared" si="9"/>
        <v>0</v>
      </c>
      <c r="P36" s="12">
        <f t="shared" si="10"/>
        <v>0</v>
      </c>
      <c r="Q36" s="14" t="b">
        <f t="shared" si="11"/>
        <v>0</v>
      </c>
      <c r="R36" s="12">
        <f t="shared" si="12"/>
        <v>0</v>
      </c>
      <c r="S36" s="14" t="b">
        <f t="shared" si="13"/>
        <v>0</v>
      </c>
      <c r="T36" s="12">
        <f t="shared" si="14"/>
        <v>0</v>
      </c>
      <c r="U36" s="14" t="b">
        <f t="shared" si="15"/>
        <v>0</v>
      </c>
      <c r="V36" s="12">
        <f t="shared" si="16"/>
        <v>0</v>
      </c>
      <c r="W36" s="184">
        <f>IF(BC36="",1,VLOOKUP(BC36,data!$C$3:$D$10,2,FALSE))*(1+BD36)</f>
        <v>1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1"/>
      <c r="BD36" s="8"/>
      <c r="BE36" s="8"/>
      <c r="BF36" s="6">
        <f t="shared" si="17"/>
        <v>0</v>
      </c>
      <c r="BG36" s="6">
        <f t="shared" si="18"/>
        <v>0</v>
      </c>
      <c r="BH36" s="6">
        <f t="shared" si="19"/>
        <v>0</v>
      </c>
      <c r="BI36" s="6">
        <f t="shared" si="20"/>
        <v>0</v>
      </c>
      <c r="BJ36" s="6">
        <f t="shared" si="21"/>
        <v>0</v>
      </c>
      <c r="BL36" s="89">
        <f t="shared" si="22"/>
        <v>0</v>
      </c>
      <c r="BM36" s="89">
        <f t="shared" si="23"/>
        <v>0</v>
      </c>
      <c r="BN36" s="89">
        <f t="shared" si="24"/>
        <v>0</v>
      </c>
      <c r="BO36" s="89">
        <f t="shared" si="25"/>
        <v>0</v>
      </c>
      <c r="BP36" s="89">
        <f t="shared" si="26"/>
        <v>0</v>
      </c>
      <c r="BQ36" s="89">
        <f t="shared" si="27"/>
        <v>0</v>
      </c>
    </row>
    <row r="37" spans="1:69" ht="12.75" customHeight="1">
      <c r="A37" s="137"/>
      <c r="B37" s="138"/>
      <c r="C37" s="139"/>
      <c r="D37" s="140"/>
      <c r="E37" s="141">
        <f t="shared" si="2"/>
      </c>
      <c r="F37" s="141">
        <f t="shared" si="3"/>
      </c>
      <c r="G37" s="195"/>
      <c r="H37" s="142">
        <f>IF($C$8="",SUMIF(time100,D37,data!$M$16:$M$21),SUMIF(packs,$C$8,data!$M$10:$M$12))</f>
        <v>0</v>
      </c>
      <c r="I37" s="143">
        <f t="shared" si="4"/>
        <v>0</v>
      </c>
      <c r="J37" s="142">
        <f t="shared" si="1"/>
        <v>0</v>
      </c>
      <c r="K37" s="14" t="b">
        <f t="shared" si="5"/>
        <v>0</v>
      </c>
      <c r="L37" s="12">
        <f t="shared" si="6"/>
        <v>0</v>
      </c>
      <c r="M37" s="14" t="b">
        <f t="shared" si="7"/>
        <v>0</v>
      </c>
      <c r="N37" s="12">
        <f t="shared" si="8"/>
        <v>0</v>
      </c>
      <c r="O37" s="14" t="b">
        <f t="shared" si="9"/>
        <v>0</v>
      </c>
      <c r="P37" s="12">
        <f t="shared" si="10"/>
        <v>0</v>
      </c>
      <c r="Q37" s="14" t="b">
        <f t="shared" si="11"/>
        <v>0</v>
      </c>
      <c r="R37" s="12">
        <f t="shared" si="12"/>
        <v>0</v>
      </c>
      <c r="S37" s="14" t="b">
        <f t="shared" si="13"/>
        <v>0</v>
      </c>
      <c r="T37" s="12">
        <f t="shared" si="14"/>
        <v>0</v>
      </c>
      <c r="U37" s="14" t="b">
        <f t="shared" si="15"/>
        <v>0</v>
      </c>
      <c r="V37" s="12">
        <f t="shared" si="16"/>
        <v>0</v>
      </c>
      <c r="W37" s="184">
        <f>IF(BC37="",1,VLOOKUP(BC37,data!$C$3:$D$10,2,FALSE))*(1+BD37)</f>
        <v>1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1"/>
      <c r="BD37" s="8"/>
      <c r="BE37" s="8"/>
      <c r="BF37" s="6">
        <f t="shared" si="17"/>
        <v>0</v>
      </c>
      <c r="BG37" s="6">
        <f t="shared" si="18"/>
        <v>0</v>
      </c>
      <c r="BH37" s="6">
        <f t="shared" si="19"/>
        <v>0</v>
      </c>
      <c r="BI37" s="6">
        <f t="shared" si="20"/>
        <v>0</v>
      </c>
      <c r="BJ37" s="6">
        <f t="shared" si="21"/>
        <v>0</v>
      </c>
      <c r="BL37" s="89">
        <f t="shared" si="22"/>
        <v>0</v>
      </c>
      <c r="BM37" s="89">
        <f t="shared" si="23"/>
        <v>0</v>
      </c>
      <c r="BN37" s="89">
        <f t="shared" si="24"/>
        <v>0</v>
      </c>
      <c r="BO37" s="89">
        <f t="shared" si="25"/>
        <v>0</v>
      </c>
      <c r="BP37" s="89">
        <f t="shared" si="26"/>
        <v>0</v>
      </c>
      <c r="BQ37" s="89">
        <f t="shared" si="27"/>
        <v>0</v>
      </c>
    </row>
    <row r="38" spans="1:69" ht="12.75" customHeight="1">
      <c r="A38" s="137"/>
      <c r="B38" s="138"/>
      <c r="C38" s="139"/>
      <c r="D38" s="140"/>
      <c r="E38" s="141">
        <f t="shared" si="2"/>
      </c>
      <c r="F38" s="141">
        <f t="shared" si="3"/>
      </c>
      <c r="G38" s="195"/>
      <c r="H38" s="142">
        <f>IF($C$8="",SUMIF(time100,D38,data!$M$16:$M$21),SUMIF(packs,$C$8,data!$M$10:$M$12))</f>
        <v>0</v>
      </c>
      <c r="I38" s="143">
        <f t="shared" si="4"/>
        <v>0</v>
      </c>
      <c r="J38" s="142">
        <f t="shared" si="1"/>
        <v>0</v>
      </c>
      <c r="K38" s="14" t="b">
        <f t="shared" si="5"/>
        <v>0</v>
      </c>
      <c r="L38" s="12">
        <f t="shared" si="6"/>
        <v>0</v>
      </c>
      <c r="M38" s="14" t="b">
        <f t="shared" si="7"/>
        <v>0</v>
      </c>
      <c r="N38" s="12">
        <f t="shared" si="8"/>
        <v>0</v>
      </c>
      <c r="O38" s="14" t="b">
        <f t="shared" si="9"/>
        <v>0</v>
      </c>
      <c r="P38" s="12">
        <f t="shared" si="10"/>
        <v>0</v>
      </c>
      <c r="Q38" s="14" t="b">
        <f t="shared" si="11"/>
        <v>0</v>
      </c>
      <c r="R38" s="12">
        <f t="shared" si="12"/>
        <v>0</v>
      </c>
      <c r="S38" s="14" t="b">
        <f t="shared" si="13"/>
        <v>0</v>
      </c>
      <c r="T38" s="12">
        <f t="shared" si="14"/>
        <v>0</v>
      </c>
      <c r="U38" s="14" t="b">
        <f t="shared" si="15"/>
        <v>0</v>
      </c>
      <c r="V38" s="12">
        <f t="shared" si="16"/>
        <v>0</v>
      </c>
      <c r="W38" s="184">
        <f>IF(BC38="",1,VLOOKUP(BC38,data!$C$3:$D$10,2,FALSE))*(1+BD38)</f>
        <v>1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1"/>
      <c r="BD38" s="8"/>
      <c r="BE38" s="8"/>
      <c r="BF38" s="6">
        <f t="shared" si="17"/>
        <v>0</v>
      </c>
      <c r="BG38" s="6">
        <f t="shared" si="18"/>
        <v>0</v>
      </c>
      <c r="BH38" s="6">
        <f t="shared" si="19"/>
        <v>0</v>
      </c>
      <c r="BI38" s="6">
        <f t="shared" si="20"/>
        <v>0</v>
      </c>
      <c r="BJ38" s="6">
        <f t="shared" si="21"/>
        <v>0</v>
      </c>
      <c r="BL38" s="89">
        <f t="shared" si="22"/>
        <v>0</v>
      </c>
      <c r="BM38" s="89">
        <f t="shared" si="23"/>
        <v>0</v>
      </c>
      <c r="BN38" s="89">
        <f t="shared" si="24"/>
        <v>0</v>
      </c>
      <c r="BO38" s="89">
        <f t="shared" si="25"/>
        <v>0</v>
      </c>
      <c r="BP38" s="89">
        <f t="shared" si="26"/>
        <v>0</v>
      </c>
      <c r="BQ38" s="89">
        <f t="shared" si="27"/>
        <v>0</v>
      </c>
    </row>
    <row r="39" spans="1:69" ht="12.75" customHeight="1">
      <c r="A39" s="137"/>
      <c r="B39" s="138"/>
      <c r="C39" s="139"/>
      <c r="D39" s="140"/>
      <c r="E39" s="141">
        <f t="shared" si="2"/>
      </c>
      <c r="F39" s="141">
        <f t="shared" si="3"/>
      </c>
      <c r="G39" s="195"/>
      <c r="H39" s="142">
        <f>IF($C$8="",SUMIF(time100,D39,data!$M$16:$M$21),SUMIF(packs,$C$8,data!$M$10:$M$12))</f>
        <v>0</v>
      </c>
      <c r="I39" s="143">
        <f t="shared" si="4"/>
        <v>0</v>
      </c>
      <c r="J39" s="142">
        <f t="shared" si="1"/>
        <v>0</v>
      </c>
      <c r="K39" s="14" t="b">
        <f t="shared" si="5"/>
        <v>0</v>
      </c>
      <c r="L39" s="12">
        <f t="shared" si="6"/>
        <v>0</v>
      </c>
      <c r="M39" s="14" t="b">
        <f t="shared" si="7"/>
        <v>0</v>
      </c>
      <c r="N39" s="12">
        <f t="shared" si="8"/>
        <v>0</v>
      </c>
      <c r="O39" s="14" t="b">
        <f t="shared" si="9"/>
        <v>0</v>
      </c>
      <c r="P39" s="12">
        <f t="shared" si="10"/>
        <v>0</v>
      </c>
      <c r="Q39" s="14" t="b">
        <f t="shared" si="11"/>
        <v>0</v>
      </c>
      <c r="R39" s="12">
        <f t="shared" si="12"/>
        <v>0</v>
      </c>
      <c r="S39" s="14" t="b">
        <f t="shared" si="13"/>
        <v>0</v>
      </c>
      <c r="T39" s="12">
        <f t="shared" si="14"/>
        <v>0</v>
      </c>
      <c r="U39" s="14" t="b">
        <f t="shared" si="15"/>
        <v>0</v>
      </c>
      <c r="V39" s="12">
        <f t="shared" si="16"/>
        <v>0</v>
      </c>
      <c r="W39" s="184">
        <f>IF(BC39="",1,VLOOKUP(BC39,data!$C$3:$D$10,2,FALSE))*(1+BD39)</f>
        <v>1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1"/>
      <c r="BD39" s="8"/>
      <c r="BE39" s="8"/>
      <c r="BF39" s="6">
        <f t="shared" si="17"/>
        <v>0</v>
      </c>
      <c r="BG39" s="6">
        <f t="shared" si="18"/>
        <v>0</v>
      </c>
      <c r="BH39" s="6">
        <f t="shared" si="19"/>
        <v>0</v>
      </c>
      <c r="BI39" s="6">
        <f t="shared" si="20"/>
        <v>0</v>
      </c>
      <c r="BJ39" s="6">
        <f t="shared" si="21"/>
        <v>0</v>
      </c>
      <c r="BL39" s="89">
        <f t="shared" si="22"/>
        <v>0</v>
      </c>
      <c r="BM39" s="89">
        <f t="shared" si="23"/>
        <v>0</v>
      </c>
      <c r="BN39" s="89">
        <f t="shared" si="24"/>
        <v>0</v>
      </c>
      <c r="BO39" s="89">
        <f t="shared" si="25"/>
        <v>0</v>
      </c>
      <c r="BP39" s="89">
        <f t="shared" si="26"/>
        <v>0</v>
      </c>
      <c r="BQ39" s="89">
        <f t="shared" si="27"/>
        <v>0</v>
      </c>
    </row>
    <row r="40" spans="1:69" ht="12.75" customHeight="1">
      <c r="A40" s="137"/>
      <c r="B40" s="138"/>
      <c r="C40" s="139"/>
      <c r="D40" s="140"/>
      <c r="E40" s="141">
        <f t="shared" si="2"/>
      </c>
      <c r="F40" s="141">
        <f t="shared" si="3"/>
      </c>
      <c r="G40" s="195"/>
      <c r="H40" s="142">
        <f>IF($C$8="",SUMIF(time100,D40,data!$M$16:$M$21),SUMIF(packs,$C$8,data!$M$10:$M$12))</f>
        <v>0</v>
      </c>
      <c r="I40" s="143">
        <f t="shared" si="4"/>
        <v>0</v>
      </c>
      <c r="J40" s="142">
        <f t="shared" si="1"/>
        <v>0</v>
      </c>
      <c r="K40" s="14" t="b">
        <f t="shared" si="5"/>
        <v>0</v>
      </c>
      <c r="L40" s="12">
        <f t="shared" si="6"/>
        <v>0</v>
      </c>
      <c r="M40" s="14" t="b">
        <f t="shared" si="7"/>
        <v>0</v>
      </c>
      <c r="N40" s="12">
        <f t="shared" si="8"/>
        <v>0</v>
      </c>
      <c r="O40" s="14" t="b">
        <f t="shared" si="9"/>
        <v>0</v>
      </c>
      <c r="P40" s="12">
        <f t="shared" si="10"/>
        <v>0</v>
      </c>
      <c r="Q40" s="14" t="b">
        <f t="shared" si="11"/>
        <v>0</v>
      </c>
      <c r="R40" s="12">
        <f t="shared" si="12"/>
        <v>0</v>
      </c>
      <c r="S40" s="14" t="b">
        <f t="shared" si="13"/>
        <v>0</v>
      </c>
      <c r="T40" s="12">
        <f t="shared" si="14"/>
        <v>0</v>
      </c>
      <c r="U40" s="14" t="b">
        <f t="shared" si="15"/>
        <v>0</v>
      </c>
      <c r="V40" s="12">
        <f t="shared" si="16"/>
        <v>0</v>
      </c>
      <c r="W40" s="184">
        <f>IF(BC40="",1,VLOOKUP(BC40,data!$C$3:$D$10,2,FALSE))*(1+BD40)</f>
        <v>1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1"/>
      <c r="BD40" s="8"/>
      <c r="BE40" s="8"/>
      <c r="BF40" s="6">
        <f t="shared" si="17"/>
        <v>0</v>
      </c>
      <c r="BG40" s="6">
        <f t="shared" si="18"/>
        <v>0</v>
      </c>
      <c r="BH40" s="6">
        <f t="shared" si="19"/>
        <v>0</v>
      </c>
      <c r="BI40" s="6">
        <f t="shared" si="20"/>
        <v>0</v>
      </c>
      <c r="BJ40" s="6">
        <f t="shared" si="21"/>
        <v>0</v>
      </c>
      <c r="BL40" s="89">
        <f t="shared" si="22"/>
        <v>0</v>
      </c>
      <c r="BM40" s="89">
        <f t="shared" si="23"/>
        <v>0</v>
      </c>
      <c r="BN40" s="89">
        <f t="shared" si="24"/>
        <v>0</v>
      </c>
      <c r="BO40" s="89">
        <f t="shared" si="25"/>
        <v>0</v>
      </c>
      <c r="BP40" s="89">
        <f t="shared" si="26"/>
        <v>0</v>
      </c>
      <c r="BQ40" s="89">
        <f t="shared" si="27"/>
        <v>0</v>
      </c>
    </row>
    <row r="41" spans="1:69" ht="12.75" customHeight="1">
      <c r="A41" s="137"/>
      <c r="B41" s="138"/>
      <c r="C41" s="139"/>
      <c r="D41" s="140"/>
      <c r="E41" s="141">
        <f t="shared" si="2"/>
      </c>
      <c r="F41" s="141">
        <f t="shared" si="3"/>
      </c>
      <c r="G41" s="195"/>
      <c r="H41" s="142">
        <f>IF($C$8="",SUMIF(time100,D41,data!$M$16:$M$21),SUMIF(packs,$C$8,data!$M$10:$M$12))</f>
        <v>0</v>
      </c>
      <c r="I41" s="143">
        <f t="shared" si="4"/>
        <v>0</v>
      </c>
      <c r="J41" s="142">
        <f t="shared" si="1"/>
        <v>0</v>
      </c>
      <c r="K41" s="14" t="b">
        <f t="shared" si="5"/>
        <v>0</v>
      </c>
      <c r="L41" s="12">
        <f t="shared" si="6"/>
        <v>0</v>
      </c>
      <c r="M41" s="14" t="b">
        <f t="shared" si="7"/>
        <v>0</v>
      </c>
      <c r="N41" s="12">
        <f t="shared" si="8"/>
        <v>0</v>
      </c>
      <c r="O41" s="14" t="b">
        <f t="shared" si="9"/>
        <v>0</v>
      </c>
      <c r="P41" s="12">
        <f t="shared" si="10"/>
        <v>0</v>
      </c>
      <c r="Q41" s="14" t="b">
        <f t="shared" si="11"/>
        <v>0</v>
      </c>
      <c r="R41" s="12">
        <f t="shared" si="12"/>
        <v>0</v>
      </c>
      <c r="S41" s="14" t="b">
        <f t="shared" si="13"/>
        <v>0</v>
      </c>
      <c r="T41" s="12">
        <f t="shared" si="14"/>
        <v>0</v>
      </c>
      <c r="U41" s="14" t="b">
        <f t="shared" si="15"/>
        <v>0</v>
      </c>
      <c r="V41" s="12">
        <f t="shared" si="16"/>
        <v>0</v>
      </c>
      <c r="W41" s="184">
        <f>IF(BC41="",1,VLOOKUP(BC41,data!$C$3:$D$10,2,FALSE))*(1+BD41)</f>
        <v>1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1"/>
      <c r="BD41" s="8"/>
      <c r="BE41" s="8"/>
      <c r="BF41" s="6">
        <f t="shared" si="17"/>
        <v>0</v>
      </c>
      <c r="BG41" s="6">
        <f t="shared" si="18"/>
        <v>0</v>
      </c>
      <c r="BH41" s="6">
        <f t="shared" si="19"/>
        <v>0</v>
      </c>
      <c r="BI41" s="6">
        <f t="shared" si="20"/>
        <v>0</v>
      </c>
      <c r="BJ41" s="6">
        <f t="shared" si="21"/>
        <v>0</v>
      </c>
      <c r="BL41" s="89">
        <f t="shared" si="22"/>
        <v>0</v>
      </c>
      <c r="BM41" s="89">
        <f t="shared" si="23"/>
        <v>0</v>
      </c>
      <c r="BN41" s="89">
        <f t="shared" si="24"/>
        <v>0</v>
      </c>
      <c r="BO41" s="89">
        <f t="shared" si="25"/>
        <v>0</v>
      </c>
      <c r="BP41" s="89">
        <f t="shared" si="26"/>
        <v>0</v>
      </c>
      <c r="BQ41" s="89">
        <f t="shared" si="27"/>
        <v>0</v>
      </c>
    </row>
    <row r="42" spans="1:69" ht="12.75" customHeight="1">
      <c r="A42" s="137"/>
      <c r="B42" s="138"/>
      <c r="C42" s="139"/>
      <c r="D42" s="140"/>
      <c r="E42" s="141">
        <f t="shared" si="2"/>
      </c>
      <c r="F42" s="141">
        <f t="shared" si="3"/>
      </c>
      <c r="G42" s="195"/>
      <c r="H42" s="142">
        <f>IF($C$8="",SUMIF(time100,D42,data!$M$16:$M$21),SUMIF(packs,$C$8,data!$M$10:$M$12))</f>
        <v>0</v>
      </c>
      <c r="I42" s="143">
        <f t="shared" si="4"/>
        <v>0</v>
      </c>
      <c r="J42" s="142">
        <f t="shared" si="1"/>
        <v>0</v>
      </c>
      <c r="K42" s="14" t="b">
        <f t="shared" si="5"/>
        <v>0</v>
      </c>
      <c r="L42" s="12">
        <f t="shared" si="6"/>
        <v>0</v>
      </c>
      <c r="M42" s="14" t="b">
        <f t="shared" si="7"/>
        <v>0</v>
      </c>
      <c r="N42" s="12">
        <f t="shared" si="8"/>
        <v>0</v>
      </c>
      <c r="O42" s="14" t="b">
        <f t="shared" si="9"/>
        <v>0</v>
      </c>
      <c r="P42" s="12">
        <f t="shared" si="10"/>
        <v>0</v>
      </c>
      <c r="Q42" s="14" t="b">
        <f t="shared" si="11"/>
        <v>0</v>
      </c>
      <c r="R42" s="12">
        <f t="shared" si="12"/>
        <v>0</v>
      </c>
      <c r="S42" s="14" t="b">
        <f t="shared" si="13"/>
        <v>0</v>
      </c>
      <c r="T42" s="12">
        <f t="shared" si="14"/>
        <v>0</v>
      </c>
      <c r="U42" s="14" t="b">
        <f t="shared" si="15"/>
        <v>0</v>
      </c>
      <c r="V42" s="12">
        <f t="shared" si="16"/>
        <v>0</v>
      </c>
      <c r="W42" s="184">
        <f>IF(BC42="",1,VLOOKUP(BC42,data!$C$3:$D$10,2,FALSE))*(1+BD42)</f>
        <v>1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1"/>
      <c r="BD42" s="8"/>
      <c r="BE42" s="8"/>
      <c r="BF42" s="6">
        <f t="shared" si="17"/>
        <v>0</v>
      </c>
      <c r="BG42" s="6">
        <f t="shared" si="18"/>
        <v>0</v>
      </c>
      <c r="BH42" s="6">
        <f t="shared" si="19"/>
        <v>0</v>
      </c>
      <c r="BI42" s="6">
        <f t="shared" si="20"/>
        <v>0</v>
      </c>
      <c r="BJ42" s="6">
        <f t="shared" si="21"/>
        <v>0</v>
      </c>
      <c r="BL42" s="89">
        <f t="shared" si="22"/>
        <v>0</v>
      </c>
      <c r="BM42" s="89">
        <f t="shared" si="23"/>
        <v>0</v>
      </c>
      <c r="BN42" s="89">
        <f t="shared" si="24"/>
        <v>0</v>
      </c>
      <c r="BO42" s="89">
        <f t="shared" si="25"/>
        <v>0</v>
      </c>
      <c r="BP42" s="89">
        <f t="shared" si="26"/>
        <v>0</v>
      </c>
      <c r="BQ42" s="89">
        <f t="shared" si="27"/>
        <v>0</v>
      </c>
    </row>
    <row r="43" spans="1:69" ht="12.75" customHeight="1">
      <c r="A43" s="137"/>
      <c r="B43" s="138"/>
      <c r="C43" s="139"/>
      <c r="D43" s="140"/>
      <c r="E43" s="141">
        <f t="shared" si="2"/>
      </c>
      <c r="F43" s="141">
        <f t="shared" si="3"/>
      </c>
      <c r="G43" s="195"/>
      <c r="H43" s="142">
        <f>IF($C$8="",SUMIF(time100,D43,data!$M$16:$M$21),SUMIF(packs,$C$8,data!$M$10:$M$12))</f>
        <v>0</v>
      </c>
      <c r="I43" s="143">
        <f t="shared" si="4"/>
        <v>0</v>
      </c>
      <c r="J43" s="142">
        <f t="shared" si="1"/>
        <v>0</v>
      </c>
      <c r="K43" s="14" t="b">
        <f t="shared" si="5"/>
        <v>0</v>
      </c>
      <c r="L43" s="12">
        <f t="shared" si="6"/>
        <v>0</v>
      </c>
      <c r="M43" s="14" t="b">
        <f t="shared" si="7"/>
        <v>0</v>
      </c>
      <c r="N43" s="12">
        <f t="shared" si="8"/>
        <v>0</v>
      </c>
      <c r="O43" s="14" t="b">
        <f t="shared" si="9"/>
        <v>0</v>
      </c>
      <c r="P43" s="12">
        <f t="shared" si="10"/>
        <v>0</v>
      </c>
      <c r="Q43" s="14" t="b">
        <f t="shared" si="11"/>
        <v>0</v>
      </c>
      <c r="R43" s="12">
        <f t="shared" si="12"/>
        <v>0</v>
      </c>
      <c r="S43" s="14" t="b">
        <f t="shared" si="13"/>
        <v>0</v>
      </c>
      <c r="T43" s="12">
        <f t="shared" si="14"/>
        <v>0</v>
      </c>
      <c r="U43" s="14" t="b">
        <f t="shared" si="15"/>
        <v>0</v>
      </c>
      <c r="V43" s="12">
        <f t="shared" si="16"/>
        <v>0</v>
      </c>
      <c r="W43" s="184">
        <f>IF(BC43="",1,VLOOKUP(BC43,data!$C$3:$D$10,2,FALSE))*(1+BD43)</f>
        <v>1</v>
      </c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1"/>
      <c r="BD43" s="8"/>
      <c r="BE43" s="8"/>
      <c r="BF43" s="6">
        <f t="shared" si="17"/>
        <v>0</v>
      </c>
      <c r="BG43" s="6">
        <f t="shared" si="18"/>
        <v>0</v>
      </c>
      <c r="BH43" s="6">
        <f t="shared" si="19"/>
        <v>0</v>
      </c>
      <c r="BI43" s="6">
        <f t="shared" si="20"/>
        <v>0</v>
      </c>
      <c r="BJ43" s="6">
        <f t="shared" si="21"/>
        <v>0</v>
      </c>
      <c r="BL43" s="89">
        <f t="shared" si="22"/>
        <v>0</v>
      </c>
      <c r="BM43" s="89">
        <f t="shared" si="23"/>
        <v>0</v>
      </c>
      <c r="BN43" s="89">
        <f t="shared" si="24"/>
        <v>0</v>
      </c>
      <c r="BO43" s="89">
        <f t="shared" si="25"/>
        <v>0</v>
      </c>
      <c r="BP43" s="89">
        <f t="shared" si="26"/>
        <v>0</v>
      </c>
      <c r="BQ43" s="89">
        <f t="shared" si="27"/>
        <v>0</v>
      </c>
    </row>
    <row r="44" spans="1:69" ht="12.75" customHeight="1">
      <c r="A44" s="137"/>
      <c r="B44" s="138"/>
      <c r="C44" s="139"/>
      <c r="D44" s="140"/>
      <c r="E44" s="141">
        <f t="shared" si="2"/>
      </c>
      <c r="F44" s="141">
        <f t="shared" si="3"/>
      </c>
      <c r="G44" s="195"/>
      <c r="H44" s="142">
        <f>IF($C$8="",SUMIF(time100,D44,data!$M$16:$M$21),SUMIF(packs,$C$8,data!$M$10:$M$12))</f>
        <v>0</v>
      </c>
      <c r="I44" s="143">
        <f t="shared" si="4"/>
        <v>0</v>
      </c>
      <c r="J44" s="142">
        <f t="shared" si="1"/>
        <v>0</v>
      </c>
      <c r="K44" s="14" t="b">
        <f t="shared" si="5"/>
        <v>0</v>
      </c>
      <c r="L44" s="12">
        <f t="shared" si="6"/>
        <v>0</v>
      </c>
      <c r="M44" s="14" t="b">
        <f t="shared" si="7"/>
        <v>0</v>
      </c>
      <c r="N44" s="12">
        <f t="shared" si="8"/>
        <v>0</v>
      </c>
      <c r="O44" s="14" t="b">
        <f t="shared" si="9"/>
        <v>0</v>
      </c>
      <c r="P44" s="12">
        <f t="shared" si="10"/>
        <v>0</v>
      </c>
      <c r="Q44" s="14" t="b">
        <f t="shared" si="11"/>
        <v>0</v>
      </c>
      <c r="R44" s="12">
        <f t="shared" si="12"/>
        <v>0</v>
      </c>
      <c r="S44" s="14" t="b">
        <f t="shared" si="13"/>
        <v>0</v>
      </c>
      <c r="T44" s="12">
        <f t="shared" si="14"/>
        <v>0</v>
      </c>
      <c r="U44" s="14" t="b">
        <f t="shared" si="15"/>
        <v>0</v>
      </c>
      <c r="V44" s="12">
        <f t="shared" si="16"/>
        <v>0</v>
      </c>
      <c r="W44" s="184">
        <f>IF(BC44="",1,VLOOKUP(BC44,data!$C$3:$D$10,2,FALSE))*(1+BD44)</f>
        <v>1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1"/>
      <c r="BD44" s="8"/>
      <c r="BE44" s="8"/>
      <c r="BF44" s="6">
        <f t="shared" si="17"/>
        <v>0</v>
      </c>
      <c r="BG44" s="6">
        <f t="shared" si="18"/>
        <v>0</v>
      </c>
      <c r="BH44" s="6">
        <f t="shared" si="19"/>
        <v>0</v>
      </c>
      <c r="BI44" s="6">
        <f t="shared" si="20"/>
        <v>0</v>
      </c>
      <c r="BJ44" s="6">
        <f t="shared" si="21"/>
        <v>0</v>
      </c>
      <c r="BL44" s="89">
        <f t="shared" si="22"/>
        <v>0</v>
      </c>
      <c r="BM44" s="89">
        <f t="shared" si="23"/>
        <v>0</v>
      </c>
      <c r="BN44" s="89">
        <f t="shared" si="24"/>
        <v>0</v>
      </c>
      <c r="BO44" s="89">
        <f t="shared" si="25"/>
        <v>0</v>
      </c>
      <c r="BP44" s="89">
        <f t="shared" si="26"/>
        <v>0</v>
      </c>
      <c r="BQ44" s="89">
        <f t="shared" si="27"/>
        <v>0</v>
      </c>
    </row>
    <row r="45" spans="1:69" ht="12.75" customHeight="1">
      <c r="A45" s="137"/>
      <c r="B45" s="138"/>
      <c r="C45" s="139"/>
      <c r="D45" s="140"/>
      <c r="E45" s="141">
        <f t="shared" si="2"/>
      </c>
      <c r="F45" s="141">
        <f t="shared" si="3"/>
      </c>
      <c r="G45" s="195"/>
      <c r="H45" s="142">
        <f>IF($C$8="",SUMIF(time100,D45,data!$M$16:$M$21),SUMIF(packs,$C$8,data!$M$10:$M$12))</f>
        <v>0</v>
      </c>
      <c r="I45" s="143">
        <f t="shared" si="4"/>
        <v>0</v>
      </c>
      <c r="J45" s="142">
        <f t="shared" si="1"/>
        <v>0</v>
      </c>
      <c r="K45" s="14" t="b">
        <f t="shared" si="5"/>
        <v>0</v>
      </c>
      <c r="L45" s="12">
        <f t="shared" si="6"/>
        <v>0</v>
      </c>
      <c r="M45" s="14" t="b">
        <f t="shared" si="7"/>
        <v>0</v>
      </c>
      <c r="N45" s="12">
        <f t="shared" si="8"/>
        <v>0</v>
      </c>
      <c r="O45" s="14" t="b">
        <f t="shared" si="9"/>
        <v>0</v>
      </c>
      <c r="P45" s="12">
        <f t="shared" si="10"/>
        <v>0</v>
      </c>
      <c r="Q45" s="14" t="b">
        <f t="shared" si="11"/>
        <v>0</v>
      </c>
      <c r="R45" s="12">
        <f t="shared" si="12"/>
        <v>0</v>
      </c>
      <c r="S45" s="14" t="b">
        <f t="shared" si="13"/>
        <v>0</v>
      </c>
      <c r="T45" s="12">
        <f t="shared" si="14"/>
        <v>0</v>
      </c>
      <c r="U45" s="14" t="b">
        <f t="shared" si="15"/>
        <v>0</v>
      </c>
      <c r="V45" s="12">
        <f t="shared" si="16"/>
        <v>0</v>
      </c>
      <c r="W45" s="184">
        <f>IF(BC45="",1,VLOOKUP(BC45,data!$C$3:$D$10,2,FALSE))*(1+BD45)</f>
        <v>1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1"/>
      <c r="BD45" s="8"/>
      <c r="BE45" s="8"/>
      <c r="BF45" s="6">
        <f t="shared" si="17"/>
        <v>0</v>
      </c>
      <c r="BG45" s="6">
        <f t="shared" si="18"/>
        <v>0</v>
      </c>
      <c r="BH45" s="6">
        <f t="shared" si="19"/>
        <v>0</v>
      </c>
      <c r="BI45" s="6">
        <f t="shared" si="20"/>
        <v>0</v>
      </c>
      <c r="BJ45" s="6">
        <f t="shared" si="21"/>
        <v>0</v>
      </c>
      <c r="BL45" s="89">
        <f t="shared" si="22"/>
        <v>0</v>
      </c>
      <c r="BM45" s="89">
        <f t="shared" si="23"/>
        <v>0</v>
      </c>
      <c r="BN45" s="89">
        <f t="shared" si="24"/>
        <v>0</v>
      </c>
      <c r="BO45" s="89">
        <f t="shared" si="25"/>
        <v>0</v>
      </c>
      <c r="BP45" s="89">
        <f t="shared" si="26"/>
        <v>0</v>
      </c>
      <c r="BQ45" s="89">
        <f t="shared" si="27"/>
        <v>0</v>
      </c>
    </row>
    <row r="46" spans="1:69" ht="12.75" customHeight="1">
      <c r="A46" s="137"/>
      <c r="B46" s="138"/>
      <c r="C46" s="139"/>
      <c r="D46" s="140"/>
      <c r="E46" s="141">
        <f t="shared" si="2"/>
      </c>
      <c r="F46" s="141">
        <f t="shared" si="3"/>
      </c>
      <c r="G46" s="195"/>
      <c r="H46" s="142">
        <f>IF($C$8="",SUMIF(time100,D46,data!$M$16:$M$21),SUMIF(packs,$C$8,data!$M$10:$M$12))</f>
        <v>0</v>
      </c>
      <c r="I46" s="143">
        <f t="shared" si="4"/>
        <v>0</v>
      </c>
      <c r="J46" s="142">
        <f t="shared" si="1"/>
        <v>0</v>
      </c>
      <c r="K46" s="14" t="b">
        <f t="shared" si="5"/>
        <v>0</v>
      </c>
      <c r="L46" s="12">
        <f t="shared" si="6"/>
        <v>0</v>
      </c>
      <c r="M46" s="14" t="b">
        <f t="shared" si="7"/>
        <v>0</v>
      </c>
      <c r="N46" s="12">
        <f t="shared" si="8"/>
        <v>0</v>
      </c>
      <c r="O46" s="14" t="b">
        <f t="shared" si="9"/>
        <v>0</v>
      </c>
      <c r="P46" s="12">
        <f t="shared" si="10"/>
        <v>0</v>
      </c>
      <c r="Q46" s="14" t="b">
        <f t="shared" si="11"/>
        <v>0</v>
      </c>
      <c r="R46" s="12">
        <f t="shared" si="12"/>
        <v>0</v>
      </c>
      <c r="S46" s="14" t="b">
        <f t="shared" si="13"/>
        <v>0</v>
      </c>
      <c r="T46" s="12">
        <f t="shared" si="14"/>
        <v>0</v>
      </c>
      <c r="U46" s="14" t="b">
        <f t="shared" si="15"/>
        <v>0</v>
      </c>
      <c r="V46" s="12">
        <f t="shared" si="16"/>
        <v>0</v>
      </c>
      <c r="W46" s="184">
        <f>IF(BC46="",1,VLOOKUP(BC46,data!$C$3:$D$10,2,FALSE))*(1+BD46)</f>
        <v>1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1"/>
      <c r="BD46" s="8"/>
      <c r="BE46" s="8"/>
      <c r="BF46" s="6">
        <f t="shared" si="17"/>
        <v>0</v>
      </c>
      <c r="BG46" s="6">
        <f t="shared" si="18"/>
        <v>0</v>
      </c>
      <c r="BH46" s="6">
        <f t="shared" si="19"/>
        <v>0</v>
      </c>
      <c r="BI46" s="6">
        <f t="shared" si="20"/>
        <v>0</v>
      </c>
      <c r="BJ46" s="6">
        <f t="shared" si="21"/>
        <v>0</v>
      </c>
      <c r="BL46" s="89">
        <f t="shared" si="22"/>
        <v>0</v>
      </c>
      <c r="BM46" s="89">
        <f t="shared" si="23"/>
        <v>0</v>
      </c>
      <c r="BN46" s="89">
        <f t="shared" si="24"/>
        <v>0</v>
      </c>
      <c r="BO46" s="89">
        <f t="shared" si="25"/>
        <v>0</v>
      </c>
      <c r="BP46" s="89">
        <f t="shared" si="26"/>
        <v>0</v>
      </c>
      <c r="BQ46" s="89">
        <f t="shared" si="27"/>
        <v>0</v>
      </c>
    </row>
    <row r="47" spans="1:69" ht="12.75" customHeight="1">
      <c r="A47" s="137"/>
      <c r="B47" s="138"/>
      <c r="C47" s="139"/>
      <c r="D47" s="140"/>
      <c r="E47" s="141">
        <f t="shared" si="2"/>
      </c>
      <c r="F47" s="141">
        <f t="shared" si="3"/>
      </c>
      <c r="G47" s="195"/>
      <c r="H47" s="142">
        <f>IF($C$8="",SUMIF(time100,D47,data!$M$16:$M$21),SUMIF(packs,$C$8,data!$M$10:$M$12))</f>
        <v>0</v>
      </c>
      <c r="I47" s="143">
        <f t="shared" si="4"/>
        <v>0</v>
      </c>
      <c r="J47" s="142">
        <f t="shared" si="1"/>
        <v>0</v>
      </c>
      <c r="K47" s="14" t="b">
        <f t="shared" si="5"/>
        <v>0</v>
      </c>
      <c r="L47" s="12">
        <f t="shared" si="6"/>
        <v>0</v>
      </c>
      <c r="M47" s="14" t="b">
        <f t="shared" si="7"/>
        <v>0</v>
      </c>
      <c r="N47" s="12">
        <f t="shared" si="8"/>
        <v>0</v>
      </c>
      <c r="O47" s="14" t="b">
        <f t="shared" si="9"/>
        <v>0</v>
      </c>
      <c r="P47" s="12">
        <f t="shared" si="10"/>
        <v>0</v>
      </c>
      <c r="Q47" s="14" t="b">
        <f t="shared" si="11"/>
        <v>0</v>
      </c>
      <c r="R47" s="12">
        <f t="shared" si="12"/>
        <v>0</v>
      </c>
      <c r="S47" s="14" t="b">
        <f t="shared" si="13"/>
        <v>0</v>
      </c>
      <c r="T47" s="12">
        <f t="shared" si="14"/>
        <v>0</v>
      </c>
      <c r="U47" s="14" t="b">
        <f t="shared" si="15"/>
        <v>0</v>
      </c>
      <c r="V47" s="12">
        <f t="shared" si="16"/>
        <v>0</v>
      </c>
      <c r="W47" s="184">
        <f>IF(BC47="",1,VLOOKUP(BC47,data!$C$3:$D$10,2,FALSE))*(1+BD47)</f>
        <v>1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1"/>
      <c r="BD47" s="8"/>
      <c r="BE47" s="8"/>
      <c r="BF47" s="6">
        <f t="shared" si="17"/>
        <v>0</v>
      </c>
      <c r="BG47" s="6">
        <f t="shared" si="18"/>
        <v>0</v>
      </c>
      <c r="BH47" s="6">
        <f t="shared" si="19"/>
        <v>0</v>
      </c>
      <c r="BI47" s="6">
        <f t="shared" si="20"/>
        <v>0</v>
      </c>
      <c r="BJ47" s="6">
        <f t="shared" si="21"/>
        <v>0</v>
      </c>
      <c r="BL47" s="89">
        <f t="shared" si="22"/>
        <v>0</v>
      </c>
      <c r="BM47" s="89">
        <f t="shared" si="23"/>
        <v>0</v>
      </c>
      <c r="BN47" s="89">
        <f t="shared" si="24"/>
        <v>0</v>
      </c>
      <c r="BO47" s="89">
        <f t="shared" si="25"/>
        <v>0</v>
      </c>
      <c r="BP47" s="89">
        <f t="shared" si="26"/>
        <v>0</v>
      </c>
      <c r="BQ47" s="89">
        <f t="shared" si="27"/>
        <v>0</v>
      </c>
    </row>
    <row r="48" spans="1:69" ht="12.75" customHeight="1">
      <c r="A48" s="137"/>
      <c r="B48" s="138"/>
      <c r="C48" s="139"/>
      <c r="D48" s="140"/>
      <c r="E48" s="141">
        <f t="shared" si="2"/>
      </c>
      <c r="F48" s="141">
        <f t="shared" si="3"/>
      </c>
      <c r="G48" s="195"/>
      <c r="H48" s="142">
        <f>IF($C$8="",SUMIF(time100,D48,data!$M$16:$M$21),SUMIF(packs,$C$8,data!$M$10:$M$12))</f>
        <v>0</v>
      </c>
      <c r="I48" s="143">
        <f t="shared" si="4"/>
        <v>0</v>
      </c>
      <c r="J48" s="142">
        <f t="shared" si="1"/>
        <v>0</v>
      </c>
      <c r="K48" s="14" t="b">
        <f t="shared" si="5"/>
        <v>0</v>
      </c>
      <c r="L48" s="12">
        <f t="shared" si="6"/>
        <v>0</v>
      </c>
      <c r="M48" s="14" t="b">
        <f t="shared" si="7"/>
        <v>0</v>
      </c>
      <c r="N48" s="12">
        <f t="shared" si="8"/>
        <v>0</v>
      </c>
      <c r="O48" s="14" t="b">
        <f t="shared" si="9"/>
        <v>0</v>
      </c>
      <c r="P48" s="12">
        <f t="shared" si="10"/>
        <v>0</v>
      </c>
      <c r="Q48" s="14" t="b">
        <f t="shared" si="11"/>
        <v>0</v>
      </c>
      <c r="R48" s="12">
        <f t="shared" si="12"/>
        <v>0</v>
      </c>
      <c r="S48" s="14" t="b">
        <f t="shared" si="13"/>
        <v>0</v>
      </c>
      <c r="T48" s="12">
        <f t="shared" si="14"/>
        <v>0</v>
      </c>
      <c r="U48" s="14" t="b">
        <f t="shared" si="15"/>
        <v>0</v>
      </c>
      <c r="V48" s="12">
        <f t="shared" si="16"/>
        <v>0</v>
      </c>
      <c r="W48" s="184">
        <f>IF(BC48="",1,VLOOKUP(BC48,data!$C$3:$D$10,2,FALSE))*(1+BD48)</f>
        <v>1</v>
      </c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1"/>
      <c r="BD48" s="8"/>
      <c r="BE48" s="8"/>
      <c r="BF48" s="6">
        <f t="shared" si="17"/>
        <v>0</v>
      </c>
      <c r="BG48" s="6">
        <f t="shared" si="18"/>
        <v>0</v>
      </c>
      <c r="BH48" s="6">
        <f t="shared" si="19"/>
        <v>0</v>
      </c>
      <c r="BI48" s="6">
        <f t="shared" si="20"/>
        <v>0</v>
      </c>
      <c r="BJ48" s="6">
        <f t="shared" si="21"/>
        <v>0</v>
      </c>
      <c r="BL48" s="89">
        <f t="shared" si="22"/>
        <v>0</v>
      </c>
      <c r="BM48" s="89">
        <f t="shared" si="23"/>
        <v>0</v>
      </c>
      <c r="BN48" s="89">
        <f t="shared" si="24"/>
        <v>0</v>
      </c>
      <c r="BO48" s="89">
        <f t="shared" si="25"/>
        <v>0</v>
      </c>
      <c r="BP48" s="89">
        <f t="shared" si="26"/>
        <v>0</v>
      </c>
      <c r="BQ48" s="89">
        <f t="shared" si="27"/>
        <v>0</v>
      </c>
    </row>
    <row r="49" spans="1:69" ht="0.75" customHeight="1">
      <c r="A49" s="9"/>
      <c r="B49" s="58"/>
      <c r="C49" s="59"/>
      <c r="D49" s="60"/>
      <c r="E49" s="61"/>
      <c r="F49" s="61"/>
      <c r="G49" s="18"/>
      <c r="H49" s="6"/>
      <c r="I49" s="6"/>
      <c r="J49" s="6"/>
      <c r="K49" s="14"/>
      <c r="L49" s="12"/>
      <c r="M49" s="14"/>
      <c r="N49" s="12"/>
      <c r="O49" s="14" t="b">
        <f>IF($X$10="Да",0,IF(G49="СЗ",H49/2,IF(G49="Клип",$H$10*H49,IF(G49="Платен репортаж",H49*$G$10*1*2/60,IF(AND(G49="Cut-in",$G$10&lt;=10),H49*0.7,IF(G49="Шапка реклама със звук 7+7",H49*1.2,IF(AND(G49="Анонс",$G$10&lt;=10),H49/2,IF(G49="Шапка реклама без звук 7+7",H49))))))))</f>
        <v>0</v>
      </c>
      <c r="P49" s="12">
        <f>COUNTIF(X49:BA49,$E$10)</f>
        <v>0</v>
      </c>
      <c r="Q49" s="14" t="b">
        <f t="shared" si="11"/>
        <v>0</v>
      </c>
      <c r="R49" s="12"/>
      <c r="S49" s="14"/>
      <c r="T49" s="12">
        <f t="shared" si="14"/>
        <v>0</v>
      </c>
      <c r="U49" s="14"/>
      <c r="V49" s="12">
        <f>COUNTIF(X49:BA49,$E$13)</f>
        <v>0</v>
      </c>
      <c r="W49" s="13"/>
      <c r="X49" s="62"/>
      <c r="Y49" s="62"/>
      <c r="Z49" s="62"/>
      <c r="AA49" s="62"/>
      <c r="AB49" s="63"/>
      <c r="AC49" s="62"/>
      <c r="AD49" s="62"/>
      <c r="AE49" s="62"/>
      <c r="AF49" s="62"/>
      <c r="AG49" s="62"/>
      <c r="AH49" s="62"/>
      <c r="AI49" s="63"/>
      <c r="AJ49" s="62"/>
      <c r="AK49" s="62"/>
      <c r="AL49" s="62"/>
      <c r="AM49" s="62"/>
      <c r="AN49" s="62"/>
      <c r="AO49" s="62"/>
      <c r="AP49" s="63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9"/>
      <c r="BD49" s="64"/>
      <c r="BE49" s="65"/>
      <c r="BF49" s="66"/>
      <c r="BG49" s="66"/>
      <c r="BH49" s="6"/>
      <c r="BI49" s="6"/>
      <c r="BJ49" s="6"/>
      <c r="BL49" s="26"/>
      <c r="BM49" s="26"/>
      <c r="BN49" s="26"/>
      <c r="BO49" s="26"/>
      <c r="BP49" s="26"/>
      <c r="BQ49" s="26"/>
    </row>
    <row r="50" spans="1:69" ht="12.75" customHeight="1">
      <c r="A50" s="16"/>
      <c r="B50" s="9"/>
      <c r="C50" s="9"/>
      <c r="D50" s="17"/>
      <c r="E50" s="17"/>
      <c r="F50" s="17"/>
      <c r="G50" s="18"/>
      <c r="H50" s="67" t="str">
        <f>IF($B$6="BG","Тотал:","Total:")</f>
        <v>Тотал:</v>
      </c>
      <c r="I50" s="175">
        <f>SUM(I17:I49)</f>
        <v>0</v>
      </c>
      <c r="J50" s="179">
        <f>SUM(J17:J48)</f>
        <v>0</v>
      </c>
      <c r="K50" s="175"/>
      <c r="L50" s="175">
        <f>SUM(L17:L48)</f>
        <v>0</v>
      </c>
      <c r="M50" s="175"/>
      <c r="N50" s="175">
        <f>SUM(N17:N48)</f>
        <v>0</v>
      </c>
      <c r="O50" s="175"/>
      <c r="P50" s="175">
        <f>SUM(P17:P48)</f>
        <v>0</v>
      </c>
      <c r="Q50" s="175"/>
      <c r="R50" s="175">
        <f>SUM(R17:R48)</f>
        <v>0</v>
      </c>
      <c r="S50" s="175"/>
      <c r="T50" s="175">
        <f>SUM(T17:T48)</f>
        <v>0</v>
      </c>
      <c r="U50" s="175"/>
      <c r="V50" s="175">
        <f>SUM(V17:V48)</f>
        <v>0</v>
      </c>
      <c r="W50" s="19"/>
      <c r="X50" s="173">
        <f aca="true" t="shared" si="28" ref="X50:BB50">COUNTA(X17:X48)</f>
        <v>0</v>
      </c>
      <c r="Y50" s="173">
        <f t="shared" si="28"/>
        <v>0</v>
      </c>
      <c r="Z50" s="173">
        <f t="shared" si="28"/>
        <v>0</v>
      </c>
      <c r="AA50" s="173">
        <f t="shared" si="28"/>
        <v>0</v>
      </c>
      <c r="AB50" s="173">
        <f t="shared" si="28"/>
        <v>0</v>
      </c>
      <c r="AC50" s="173">
        <f t="shared" si="28"/>
        <v>0</v>
      </c>
      <c r="AD50" s="173">
        <f t="shared" si="28"/>
        <v>0</v>
      </c>
      <c r="AE50" s="173">
        <f t="shared" si="28"/>
        <v>0</v>
      </c>
      <c r="AF50" s="173">
        <f t="shared" si="28"/>
        <v>0</v>
      </c>
      <c r="AG50" s="173">
        <f t="shared" si="28"/>
        <v>0</v>
      </c>
      <c r="AH50" s="173">
        <f t="shared" si="28"/>
        <v>0</v>
      </c>
      <c r="AI50" s="173">
        <f t="shared" si="28"/>
        <v>0</v>
      </c>
      <c r="AJ50" s="173">
        <f t="shared" si="28"/>
        <v>0</v>
      </c>
      <c r="AK50" s="173">
        <f t="shared" si="28"/>
        <v>0</v>
      </c>
      <c r="AL50" s="173">
        <f t="shared" si="28"/>
        <v>0</v>
      </c>
      <c r="AM50" s="173">
        <f t="shared" si="28"/>
        <v>0</v>
      </c>
      <c r="AN50" s="173">
        <f t="shared" si="28"/>
        <v>0</v>
      </c>
      <c r="AO50" s="173">
        <f t="shared" si="28"/>
        <v>0</v>
      </c>
      <c r="AP50" s="173">
        <f t="shared" si="28"/>
        <v>0</v>
      </c>
      <c r="AQ50" s="173">
        <f t="shared" si="28"/>
        <v>0</v>
      </c>
      <c r="AR50" s="173">
        <f t="shared" si="28"/>
        <v>0</v>
      </c>
      <c r="AS50" s="173">
        <f t="shared" si="28"/>
        <v>0</v>
      </c>
      <c r="AT50" s="173">
        <f t="shared" si="28"/>
        <v>0</v>
      </c>
      <c r="AU50" s="173">
        <f t="shared" si="28"/>
        <v>0</v>
      </c>
      <c r="AV50" s="173">
        <f t="shared" si="28"/>
        <v>0</v>
      </c>
      <c r="AW50" s="173">
        <f t="shared" si="28"/>
        <v>0</v>
      </c>
      <c r="AX50" s="173">
        <f t="shared" si="28"/>
        <v>0</v>
      </c>
      <c r="AY50" s="173">
        <f t="shared" si="28"/>
        <v>0</v>
      </c>
      <c r="AZ50" s="173">
        <f t="shared" si="28"/>
        <v>0</v>
      </c>
      <c r="BA50" s="173">
        <f t="shared" si="28"/>
        <v>0</v>
      </c>
      <c r="BB50" s="173">
        <f t="shared" si="28"/>
        <v>0</v>
      </c>
      <c r="BC50" s="9"/>
      <c r="BD50" s="9"/>
      <c r="BE50" s="10"/>
      <c r="BF50" s="170">
        <f>SUM(BF17:BF48)</f>
        <v>0</v>
      </c>
      <c r="BG50" s="170">
        <f>SUM(BG17:BG48)</f>
        <v>0</v>
      </c>
      <c r="BH50" s="170">
        <f>SUM(BH17:BH48)</f>
        <v>0</v>
      </c>
      <c r="BI50" s="170">
        <f>SUM(BI17:BI48)</f>
        <v>0</v>
      </c>
      <c r="BJ50" s="170">
        <f>SUM(BJ17:BJ48)</f>
        <v>0</v>
      </c>
      <c r="BL50" s="26"/>
      <c r="BM50" s="26"/>
      <c r="BN50" s="26"/>
      <c r="BO50" s="26"/>
      <c r="BP50" s="26"/>
      <c r="BQ50" s="26"/>
    </row>
    <row r="51" spans="1:62" ht="10.5" customHeight="1">
      <c r="A51" s="10"/>
      <c r="B51" s="10"/>
      <c r="C51" s="11"/>
      <c r="D51" s="11"/>
      <c r="E51" s="11"/>
      <c r="F51" s="11"/>
      <c r="G51" s="11"/>
      <c r="H51" s="328" t="str">
        <f>IF($B$6="BG","Бюджет по седмици","Budget per week")</f>
        <v>Бюджет по седмици</v>
      </c>
      <c r="I51" s="329"/>
      <c r="J51" s="329"/>
      <c r="K51" s="127"/>
      <c r="L51" s="127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69"/>
      <c r="X51" s="332">
        <f>SUM(BL17:BL48)</f>
        <v>0</v>
      </c>
      <c r="Y51" s="333"/>
      <c r="Z51" s="333"/>
      <c r="AA51" s="333"/>
      <c r="AB51" s="333"/>
      <c r="AC51" s="334"/>
      <c r="AD51" s="332">
        <f>SUM(BM17:BM48)</f>
        <v>0</v>
      </c>
      <c r="AE51" s="333"/>
      <c r="AF51" s="333"/>
      <c r="AG51" s="333"/>
      <c r="AH51" s="333"/>
      <c r="AI51" s="333"/>
      <c r="AJ51" s="334"/>
      <c r="AK51" s="332">
        <f>SUM(BN17:BN48)</f>
        <v>0</v>
      </c>
      <c r="AL51" s="333"/>
      <c r="AM51" s="333"/>
      <c r="AN51" s="333"/>
      <c r="AO51" s="333"/>
      <c r="AP51" s="333"/>
      <c r="AQ51" s="334"/>
      <c r="AR51" s="332">
        <f>SUM(BO17:BO48)</f>
        <v>0</v>
      </c>
      <c r="AS51" s="333"/>
      <c r="AT51" s="333"/>
      <c r="AU51" s="333"/>
      <c r="AV51" s="333"/>
      <c r="AW51" s="333"/>
      <c r="AX51" s="334"/>
      <c r="AY51" s="335">
        <f>SUM(BP17:BP48)</f>
        <v>0</v>
      </c>
      <c r="AZ51" s="336"/>
      <c r="BA51" s="336"/>
      <c r="BB51" s="337"/>
      <c r="BC51" s="11"/>
      <c r="BD51" s="11"/>
      <c r="BE51" s="11"/>
      <c r="BF51" s="11"/>
      <c r="BG51" s="11"/>
      <c r="BH51" s="11"/>
      <c r="BI51" s="11"/>
      <c r="BJ51" s="11"/>
    </row>
    <row r="52" spans="1:62" ht="10.5" customHeight="1">
      <c r="A52" s="11"/>
      <c r="B52" s="11"/>
      <c r="C52" s="11"/>
      <c r="D52" s="11"/>
      <c r="E52" s="11"/>
      <c r="F52" s="11"/>
      <c r="G52" s="11"/>
      <c r="H52" s="322" t="str">
        <f>IF($B$6="BG","Брой излъчвания по седмици","Number per week")</f>
        <v>Брой излъчвания по седмици</v>
      </c>
      <c r="I52" s="323"/>
      <c r="J52" s="323"/>
      <c r="K52" s="127"/>
      <c r="L52" s="127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69"/>
      <c r="X52" s="332">
        <f>SUM(X50:AC50)</f>
        <v>0</v>
      </c>
      <c r="Y52" s="333"/>
      <c r="Z52" s="333"/>
      <c r="AA52" s="333"/>
      <c r="AB52" s="333"/>
      <c r="AC52" s="334"/>
      <c r="AD52" s="332">
        <f>SUM(AD50:AJ50)</f>
        <v>0</v>
      </c>
      <c r="AE52" s="333"/>
      <c r="AF52" s="333"/>
      <c r="AG52" s="333"/>
      <c r="AH52" s="333"/>
      <c r="AI52" s="333"/>
      <c r="AJ52" s="334"/>
      <c r="AK52" s="332">
        <f>SUM(AK50:AQ50)</f>
        <v>0</v>
      </c>
      <c r="AL52" s="333"/>
      <c r="AM52" s="333"/>
      <c r="AN52" s="333"/>
      <c r="AO52" s="333"/>
      <c r="AP52" s="333"/>
      <c r="AQ52" s="334"/>
      <c r="AR52" s="332">
        <f>SUM(AR50:AX50,)</f>
        <v>0</v>
      </c>
      <c r="AS52" s="333"/>
      <c r="AT52" s="333"/>
      <c r="AU52" s="333"/>
      <c r="AV52" s="333"/>
      <c r="AW52" s="333"/>
      <c r="AX52" s="334"/>
      <c r="AY52" s="335">
        <f>SUM(AY50:BB50,)</f>
        <v>0</v>
      </c>
      <c r="AZ52" s="336"/>
      <c r="BA52" s="336"/>
      <c r="BB52" s="337"/>
      <c r="BC52" s="11"/>
      <c r="BD52" s="11"/>
      <c r="BE52" s="11"/>
      <c r="BF52" s="11"/>
      <c r="BG52" s="11"/>
      <c r="BH52" s="11"/>
      <c r="BI52" s="11"/>
      <c r="BJ52" s="11"/>
    </row>
    <row r="53" spans="8:54" ht="10.5" customHeight="1">
      <c r="H53" s="322" t="str">
        <f>IF($B$6="BG","Обща сума утежнения","Total surcharge")</f>
        <v>Обща сума утежнения</v>
      </c>
      <c r="I53" s="322"/>
      <c r="J53" s="322"/>
      <c r="K53" s="127"/>
      <c r="L53" s="127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319">
        <f>BJ50</f>
        <v>0</v>
      </c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</row>
    <row r="54" spans="1:10" ht="17.25" customHeight="1">
      <c r="A54" s="313" t="str">
        <f>IF($B$6="BG","Отстъпки","Discounts")</f>
        <v>Отстъпки</v>
      </c>
      <c r="B54" s="167" t="str">
        <f>IF($B$6="BG","Брутна сума","Gross budget")</f>
        <v>Брутна сума</v>
      </c>
      <c r="H54" s="21"/>
      <c r="I54" s="21"/>
      <c r="J54" s="21"/>
    </row>
    <row r="55" spans="1:59" ht="17.25" customHeight="1">
      <c r="A55" s="314"/>
      <c r="B55" s="178">
        <f>J50</f>
        <v>0</v>
      </c>
      <c r="C55" s="303" t="str">
        <f>IF($B$6="BG","Разпределение на бюджета по канали и PT/OPT","Budget Distribution by Channel and PT/OPT")</f>
        <v>Разпределение на бюджета по канали и PT/OPT</v>
      </c>
      <c r="D55" s="304"/>
      <c r="E55" s="304"/>
      <c r="F55" s="304"/>
      <c r="G55" s="304"/>
      <c r="H55" s="304"/>
      <c r="I55" s="305"/>
      <c r="J55" s="21"/>
      <c r="K55" s="21"/>
      <c r="L55" s="21"/>
      <c r="M55" s="21"/>
      <c r="N55" s="21"/>
      <c r="O55" s="21"/>
      <c r="P55" s="21"/>
      <c r="Q55" s="21"/>
      <c r="R55" s="21"/>
      <c r="S55" s="21"/>
      <c r="BA55" s="21"/>
      <c r="BB55" s="21"/>
      <c r="BC55" s="21"/>
      <c r="BD55" s="21"/>
      <c r="BE55" s="21"/>
      <c r="BF55" s="21"/>
      <c r="BG55" s="21"/>
    </row>
    <row r="56" spans="1:59" ht="14.25" customHeight="1">
      <c r="A56" s="200" t="str">
        <f>IF($B$6="BG","Отстъпки","Discounts")</f>
        <v>Отстъпки</v>
      </c>
      <c r="B56" s="206"/>
      <c r="C56" s="306"/>
      <c r="D56" s="307"/>
      <c r="E56" s="307"/>
      <c r="F56" s="307"/>
      <c r="G56" s="307"/>
      <c r="H56" s="307"/>
      <c r="I56" s="308"/>
      <c r="J56" s="21"/>
      <c r="K56" s="21"/>
      <c r="L56" s="21"/>
      <c r="M56" s="21"/>
      <c r="N56" s="21"/>
      <c r="O56" s="21"/>
      <c r="P56" s="21"/>
      <c r="Q56" s="21"/>
      <c r="R56" s="21"/>
      <c r="S56" s="21"/>
      <c r="BA56" s="21"/>
      <c r="BB56" s="21"/>
      <c r="BC56" s="21"/>
      <c r="BD56" s="21"/>
      <c r="BE56" s="21"/>
      <c r="BF56" s="21"/>
      <c r="BG56" s="21"/>
    </row>
    <row r="57" spans="1:59" ht="14.25" customHeight="1">
      <c r="A57" s="200" t="str">
        <f>IF($B$6="BG","Отстъпки","Discounts")</f>
        <v>Отстъпки</v>
      </c>
      <c r="B57" s="206"/>
      <c r="C57" s="330" t="str">
        <f>IF($B$6="BG","Канал","Channel")</f>
        <v>Канал</v>
      </c>
      <c r="D57" s="330" t="str">
        <f>IF($B$6="BG","Брутен бюджет","Gross budget")</f>
        <v>Брутен бюджет</v>
      </c>
      <c r="E57" s="313" t="str">
        <f>IF($B$6="BG","% от общия бюджет","Channel distribution %")</f>
        <v>% от общия бюджет</v>
      </c>
      <c r="F57" s="330" t="str">
        <f>IF($B$6="BG","Бюджет в ПТ","Budget in PT")</f>
        <v>Бюджет в ПТ</v>
      </c>
      <c r="G57" s="330" t="str">
        <f>IF($B$6="BG","Бюджет в ОПТ","Budget in OPT")</f>
        <v>Бюджет в ОПТ</v>
      </c>
      <c r="H57" s="330" t="s">
        <v>50</v>
      </c>
      <c r="I57" s="330" t="s">
        <v>51</v>
      </c>
      <c r="K57" s="21"/>
      <c r="L57" s="21"/>
      <c r="M57" s="21"/>
      <c r="N57" s="21"/>
      <c r="O57" s="21"/>
      <c r="P57" s="21"/>
      <c r="Q57" s="21"/>
      <c r="R57" s="21"/>
      <c r="S57" s="21"/>
      <c r="BA57" s="21"/>
      <c r="BB57" s="21"/>
      <c r="BC57" s="21"/>
      <c r="BD57" s="21"/>
      <c r="BE57" s="21"/>
      <c r="BF57" s="21"/>
      <c r="BG57" s="21"/>
    </row>
    <row r="58" spans="1:59" ht="14.25" customHeight="1">
      <c r="A58" s="204" t="str">
        <f>IF($B$6="BG","Общо отстъпки","Total Discounts")</f>
        <v>Общо отстъпки</v>
      </c>
      <c r="B58" s="207">
        <f>1-(1-B56)*(1-B57)</f>
        <v>0</v>
      </c>
      <c r="C58" s="330"/>
      <c r="D58" s="330"/>
      <c r="E58" s="331"/>
      <c r="F58" s="330"/>
      <c r="G58" s="330"/>
      <c r="H58" s="330"/>
      <c r="I58" s="330"/>
      <c r="K58" s="21"/>
      <c r="L58" s="21"/>
      <c r="M58" s="21"/>
      <c r="N58" s="21"/>
      <c r="O58" s="21"/>
      <c r="P58" s="21"/>
      <c r="Q58" s="21"/>
      <c r="R58" s="21"/>
      <c r="S58" s="21"/>
      <c r="BA58" s="21"/>
      <c r="BB58" s="21"/>
      <c r="BC58" s="21"/>
      <c r="BD58" s="21"/>
      <c r="BE58" s="21"/>
      <c r="BF58" s="21"/>
      <c r="BG58" s="21"/>
    </row>
    <row r="59" spans="1:59" ht="14.25" customHeight="1">
      <c r="A59" s="200" t="str">
        <f>IF($B$6="BG","Изработка на платен репортаж","Paid report Producement")</f>
        <v>Изработка на платен репортаж</v>
      </c>
      <c r="B59" s="208">
        <v>0</v>
      </c>
      <c r="C59" s="200" t="str">
        <f>IF($B$6="BG","БНТ1 фикс. цени","BNT -fixed price")</f>
        <v>БНТ1 фикс. цени</v>
      </c>
      <c r="D59" s="201">
        <f>БНТ1_fixed!B50</f>
        <v>0</v>
      </c>
      <c r="E59" s="202">
        <f>БНТ1_fixed!E54</f>
        <v>0</v>
      </c>
      <c r="F59" s="201">
        <f>БНТ1_fixed!F54</f>
        <v>0</v>
      </c>
      <c r="G59" s="201">
        <f>БНТ1_fixed!G54</f>
        <v>0</v>
      </c>
      <c r="H59" s="203">
        <f>БНТ1_fixed!H54</f>
        <v>0</v>
      </c>
      <c r="I59" s="203">
        <f>БНТ1_fixed!I54</f>
        <v>0</v>
      </c>
      <c r="K59" s="21"/>
      <c r="L59" s="21"/>
      <c r="M59" s="21"/>
      <c r="N59" s="21"/>
      <c r="O59" s="21"/>
      <c r="P59" s="21"/>
      <c r="Q59" s="21"/>
      <c r="R59" s="21"/>
      <c r="S59" s="21"/>
      <c r="BA59" s="21"/>
      <c r="BB59" s="21"/>
      <c r="BC59" s="21"/>
      <c r="BD59" s="21"/>
      <c r="BE59" s="21"/>
      <c r="BF59" s="21"/>
      <c r="BG59" s="21"/>
    </row>
    <row r="60" spans="1:59" ht="14.25" customHeight="1">
      <c r="A60" s="200" t="str">
        <f>IF($B$6="BG","Утежнения","Surcharge")</f>
        <v>Утежнения</v>
      </c>
      <c r="B60" s="208">
        <f>BH50</f>
        <v>0</v>
      </c>
      <c r="C60" s="200" t="str">
        <f>IF($B$6="BG","БНТ 2 фикс. цени","BNT 2 fixed")</f>
        <v>БНТ 2 фикс. цени</v>
      </c>
      <c r="D60" s="201">
        <f>'БНТ 2_fixed'!B42</f>
        <v>0</v>
      </c>
      <c r="E60" s="202">
        <f>'БНТ 2_fixed'!E47</f>
        <v>0</v>
      </c>
      <c r="F60" s="201">
        <f>'БНТ 2_fixed'!F47</f>
        <v>0</v>
      </c>
      <c r="G60" s="201">
        <f>'БНТ 2_fixed'!G47</f>
        <v>0</v>
      </c>
      <c r="H60" s="203">
        <f>'БНТ 2_fixed'!H47</f>
        <v>0</v>
      </c>
      <c r="I60" s="203">
        <f>'БНТ 2_fixed'!I47</f>
        <v>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BA60" s="21"/>
      <c r="BB60" s="21"/>
      <c r="BC60" s="21"/>
      <c r="BD60" s="21"/>
      <c r="BE60" s="21"/>
      <c r="BF60" s="21"/>
      <c r="BG60" s="21"/>
    </row>
    <row r="61" spans="1:59" ht="14.25" customHeight="1">
      <c r="A61" s="200" t="str">
        <f>IF($B$6="BG","Закъснение","Delay")</f>
        <v>Закъснение</v>
      </c>
      <c r="B61" s="208">
        <f>BI50</f>
        <v>0</v>
      </c>
      <c r="C61" s="200" t="str">
        <f>IF($B$6="BG","БНТ 3 фикс. цени","BNT 3 fixed")</f>
        <v>БНТ 3 фикс. цени</v>
      </c>
      <c r="D61" s="201">
        <f>'БНТ 3_Ffixed'!B51</f>
        <v>0</v>
      </c>
      <c r="E61" s="202">
        <f>'БНТ 3_Ffixed'!E57</f>
        <v>0</v>
      </c>
      <c r="F61" s="201">
        <f>'БНТ 3_Ffixed'!F57</f>
        <v>0</v>
      </c>
      <c r="G61" s="201">
        <f>'БНТ 3_Ffixed'!G57</f>
        <v>0</v>
      </c>
      <c r="H61" s="203" t="str">
        <f>'БНТ 3_Ffixed'!H57</f>
        <v>0%</v>
      </c>
      <c r="I61" s="203" t="str">
        <f>'БНТ 3_Ffixed'!I57</f>
        <v>0%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BA61" s="21"/>
      <c r="BB61" s="21"/>
      <c r="BC61" s="21"/>
      <c r="BD61" s="21"/>
      <c r="BE61" s="21"/>
      <c r="BF61" s="21"/>
      <c r="BG61" s="21"/>
    </row>
    <row r="62" spans="1:23" ht="14.25" customHeight="1">
      <c r="A62" s="204" t="str">
        <f>IF($B$6="BG","Нетна сума без ДДС","Net budget without VAT")</f>
        <v>Нетна сума без ДДС</v>
      </c>
      <c r="B62" s="209">
        <f>(B55*(100%-B56)*(100%-B57)+B59+B61)</f>
        <v>0</v>
      </c>
      <c r="C62" s="200" t="str">
        <f>IF($B$6="BG","БНТ 4 фикс. цени","BNT 4 fixed")</f>
        <v>БНТ 4 фикс. цени</v>
      </c>
      <c r="D62" s="201">
        <f>B55</f>
        <v>0</v>
      </c>
      <c r="E62" s="202">
        <f>_xlfn.IFERROR(D62/$D$63,0)</f>
        <v>0</v>
      </c>
      <c r="F62" s="201">
        <f>_xlfn.IFERROR(SUMIF($F$17:$F$48,"PT",$J$17:$J$48),0)</f>
        <v>0</v>
      </c>
      <c r="G62" s="201">
        <f>_xlfn.IFERROR(SUMIF($F$17:$F$48,"OPT",$J$17:$J$48),0)</f>
        <v>0</v>
      </c>
      <c r="H62" s="203">
        <f>_xlfn.IFERROR(F62/J50,"0"%)</f>
        <v>0</v>
      </c>
      <c r="I62" s="203" t="str">
        <f>_xlfn.IFERROR(G62/J50,"0%")</f>
        <v>0%</v>
      </c>
      <c r="K62" s="21"/>
      <c r="L62" s="21"/>
      <c r="M62" s="21"/>
      <c r="N62" s="21"/>
      <c r="O62" s="21"/>
      <c r="P62" s="21"/>
      <c r="Q62" s="21"/>
      <c r="R62" s="21"/>
      <c r="S62" s="21"/>
      <c r="U62" s="21"/>
      <c r="V62" s="21"/>
      <c r="W62" s="21"/>
    </row>
    <row r="63" spans="1:23" ht="14.25" customHeight="1">
      <c r="A63" s="200" t="str">
        <f>IF($B$6="BG","ДДС","VAT")</f>
        <v>ДДС</v>
      </c>
      <c r="B63" s="210">
        <v>0.2</v>
      </c>
      <c r="C63" s="204" t="str">
        <f>IF($B$6="BG","Общо","Total")</f>
        <v>Общо</v>
      </c>
      <c r="D63" s="201">
        <f>SUM(D59:D62)</f>
        <v>0</v>
      </c>
      <c r="E63" s="202">
        <f>SUM(E59:E62)</f>
        <v>0</v>
      </c>
      <c r="F63" s="201">
        <f>SUM(F59:F62)</f>
        <v>0</v>
      </c>
      <c r="G63" s="201">
        <f>SUM(G59:G62)</f>
        <v>0</v>
      </c>
      <c r="H63" s="205">
        <f>IF(E63=0,"",(F63/D63))</f>
      </c>
      <c r="I63" s="205">
        <f>IF(E63=0,"",(G63/D63))</f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 customHeight="1">
      <c r="A64" s="204" t="str">
        <f>IF($B$6="BG","Нетна сума с ДДС","Net budget with VAT")</f>
        <v>Нетна сума с ДДС</v>
      </c>
      <c r="B64" s="209">
        <f>B62+(B62*B63)</f>
        <v>0</v>
      </c>
      <c r="G64" s="21"/>
      <c r="H64" s="21"/>
      <c r="I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7"/>
    </row>
    <row r="65" spans="1:23" ht="12.75" customHeight="1">
      <c r="A65" s="198"/>
      <c r="B65" s="199"/>
      <c r="G65" s="21"/>
      <c r="H65" s="21"/>
      <c r="I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7"/>
    </row>
    <row r="66" spans="1:23" ht="12.75" customHeight="1">
      <c r="A66" s="198"/>
      <c r="B66" s="199"/>
      <c r="G66" s="21"/>
      <c r="H66" s="21"/>
      <c r="I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7"/>
    </row>
    <row r="67" spans="1:23" ht="12.75" customHeight="1">
      <c r="A67" s="21"/>
      <c r="B67" s="28"/>
      <c r="G67" s="21"/>
      <c r="H67" s="21"/>
      <c r="I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2.75" customHeight="1">
      <c r="A68" s="54" t="str">
        <f>IF($B$6="BG","Приел:","Executed by:")</f>
        <v>Приел:</v>
      </c>
      <c r="B68" s="125"/>
      <c r="E68" s="54" t="str">
        <f>IF($B$6="BG","Заявил:","Requested by:")</f>
        <v>Заявил:</v>
      </c>
      <c r="G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2.75" customHeight="1">
      <c r="A69" s="54"/>
      <c r="B69" s="125"/>
      <c r="G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" ht="12.75" customHeight="1">
      <c r="A70" s="54"/>
      <c r="B70" s="125"/>
    </row>
    <row r="71" spans="1:2" ht="12.75" customHeight="1">
      <c r="A71" s="31"/>
      <c r="B71" s="125"/>
    </row>
    <row r="72" spans="1:2" ht="12.75" customHeight="1">
      <c r="A72" s="54" t="str">
        <f>IF($B$6="BG","Светла Цветкова:","Tsvetkova Svetla:")</f>
        <v>Светла Цветкова:</v>
      </c>
      <c r="B72" s="125"/>
    </row>
    <row r="73" spans="1:2" ht="12.75" customHeight="1">
      <c r="A73" s="54" t="str">
        <f>IF($B$6="BG","Трафик Експерт:","Traffik Expert:")</f>
        <v>Трафик Експерт:</v>
      </c>
      <c r="B73" s="125"/>
    </row>
    <row r="74" spans="1:2" ht="12.75" customHeight="1">
      <c r="A74" s="54"/>
      <c r="B74" s="125"/>
    </row>
    <row r="75" spans="1:4" ht="13.5" customHeight="1">
      <c r="A75" s="54"/>
      <c r="B75" s="125"/>
      <c r="C75" s="31"/>
      <c r="D75" s="31"/>
    </row>
    <row r="76" spans="1:5" ht="13.5" customHeight="1">
      <c r="A76" s="31"/>
      <c r="B76" s="125"/>
      <c r="C76" s="31"/>
      <c r="D76" s="31"/>
      <c r="E76" s="54"/>
    </row>
    <row r="77" spans="1:5" ht="13.5" customHeight="1">
      <c r="A77" s="54" t="str">
        <f>IF($B$6="BG","Севда Димитрова:","Dimitrova Sevda:")</f>
        <v>Севда Димитрова:</v>
      </c>
      <c r="B77" s="125"/>
      <c r="C77" s="31"/>
      <c r="D77" s="31"/>
      <c r="E77" s="31"/>
    </row>
    <row r="78" spans="1:5" ht="13.5" customHeight="1">
      <c r="A78" s="54" t="str">
        <f>IF($B$6="BG","и. д. Директор  Маркетинг и комуникации:","CEO Marketing and Communication:")</f>
        <v>и. д. Директор  Маркетинг и комуникации:</v>
      </c>
      <c r="B78" s="125"/>
      <c r="C78" s="31"/>
      <c r="D78" s="31"/>
      <c r="E78" s="31"/>
    </row>
    <row r="79" spans="1:5" ht="13.5" customHeight="1">
      <c r="A79" s="31"/>
      <c r="B79" s="31"/>
      <c r="C79" s="31"/>
      <c r="D79" s="31"/>
      <c r="E79" s="31"/>
    </row>
    <row r="80" spans="1:5" ht="13.5" customHeight="1">
      <c r="A80" s="29"/>
      <c r="C80" s="31"/>
      <c r="D80" s="31"/>
      <c r="E80" s="31"/>
    </row>
    <row r="81" spans="2:5" ht="13.5" customHeight="1">
      <c r="B81" s="29"/>
      <c r="C81" s="31"/>
      <c r="D81" s="31"/>
      <c r="E81" s="31"/>
    </row>
    <row r="82" spans="2:5" ht="13.5" customHeight="1">
      <c r="B82" s="29"/>
      <c r="C82" s="31"/>
      <c r="D82" s="31"/>
      <c r="E82" s="31"/>
    </row>
    <row r="83" spans="3:5" ht="14.25">
      <c r="C83" s="31"/>
      <c r="D83" s="31"/>
      <c r="E83" s="31"/>
    </row>
    <row r="84" spans="3:5" ht="14.25">
      <c r="C84" s="31"/>
      <c r="D84" s="31"/>
      <c r="E84" s="31"/>
    </row>
    <row r="85" spans="3:5" ht="14.25">
      <c r="C85" s="31"/>
      <c r="D85" s="31"/>
      <c r="E85" s="31"/>
    </row>
  </sheetData>
  <sheetProtection/>
  <protectedRanges>
    <protectedRange sqref="E68 A68:B76 B77:B78 C77:C84 E76" name="Range7_1"/>
    <protectedRange sqref="A77" name="Range7_2"/>
    <protectedRange sqref="A78" name="Range7_1_1_1"/>
  </protectedRanges>
  <autoFilter ref="X16:BB16"/>
  <mergeCells count="54">
    <mergeCell ref="C8:D8"/>
    <mergeCell ref="C9:D9"/>
    <mergeCell ref="C10:D10"/>
    <mergeCell ref="C11:D11"/>
    <mergeCell ref="C12:D12"/>
    <mergeCell ref="C13:D13"/>
    <mergeCell ref="X51:AC51"/>
    <mergeCell ref="AD51:AJ51"/>
    <mergeCell ref="AK51:AQ51"/>
    <mergeCell ref="AR51:AX51"/>
    <mergeCell ref="AY51:BB51"/>
    <mergeCell ref="X52:AC52"/>
    <mergeCell ref="AD52:AJ52"/>
    <mergeCell ref="AK52:AQ52"/>
    <mergeCell ref="AR52:AX52"/>
    <mergeCell ref="AY52:BB52"/>
    <mergeCell ref="I57:I58"/>
    <mergeCell ref="C55:I56"/>
    <mergeCell ref="C57:C58"/>
    <mergeCell ref="D57:D58"/>
    <mergeCell ref="E57:E58"/>
    <mergeCell ref="F57:F58"/>
    <mergeCell ref="G57:G58"/>
    <mergeCell ref="H57:H58"/>
    <mergeCell ref="H7:I7"/>
    <mergeCell ref="H8:I8"/>
    <mergeCell ref="H53:J53"/>
    <mergeCell ref="H52:J52"/>
    <mergeCell ref="C14:J15"/>
    <mergeCell ref="H51:J51"/>
    <mergeCell ref="H13:I13"/>
    <mergeCell ref="H9:I9"/>
    <mergeCell ref="H10:I10"/>
    <mergeCell ref="C7:D7"/>
    <mergeCell ref="A54:A55"/>
    <mergeCell ref="X9:Z9"/>
    <mergeCell ref="X10:Z10"/>
    <mergeCell ref="X11:Z11"/>
    <mergeCell ref="X12:Z12"/>
    <mergeCell ref="X13:Z13"/>
    <mergeCell ref="X53:BB53"/>
    <mergeCell ref="E13:F13"/>
    <mergeCell ref="E11:F11"/>
    <mergeCell ref="E12:F12"/>
    <mergeCell ref="X8:Z8"/>
    <mergeCell ref="X14:BB15"/>
    <mergeCell ref="A2:Z5"/>
    <mergeCell ref="E7:F7"/>
    <mergeCell ref="X7:Z7"/>
    <mergeCell ref="E9:F9"/>
    <mergeCell ref="E10:F10"/>
    <mergeCell ref="E8:F8"/>
    <mergeCell ref="H11:I11"/>
    <mergeCell ref="H12:I12"/>
  </mergeCells>
  <conditionalFormatting sqref="W64:W66 A2 E76 E68">
    <cfRule type="cellIs" priority="141" dxfId="0" operator="equal" stopIfTrue="1">
      <formula>0</formula>
    </cfRule>
  </conditionalFormatting>
  <conditionalFormatting sqref="A68:A70 A72:A76">
    <cfRule type="cellIs" priority="19" dxfId="0" operator="equal" stopIfTrue="1">
      <formula>0</formula>
    </cfRule>
  </conditionalFormatting>
  <conditionalFormatting sqref="E8:F8">
    <cfRule type="cellIs" priority="15" dxfId="2" operator="equal" stopIfTrue="1">
      <formula>"A"</formula>
    </cfRule>
  </conditionalFormatting>
  <conditionalFormatting sqref="E9:F9">
    <cfRule type="cellIs" priority="14" dxfId="3" operator="equal" stopIfTrue="1">
      <formula>"B"</formula>
    </cfRule>
  </conditionalFormatting>
  <conditionalFormatting sqref="E10:F10">
    <cfRule type="cellIs" priority="12" dxfId="5" operator="equal" stopIfTrue="1">
      <formula>"D"</formula>
    </cfRule>
    <cfRule type="cellIs" priority="13" dxfId="4" operator="equal" stopIfTrue="1">
      <formula>"C"</formula>
    </cfRule>
  </conditionalFormatting>
  <conditionalFormatting sqref="E11:F11">
    <cfRule type="cellIs" priority="11" dxfId="5" operator="equal" stopIfTrue="1">
      <formula>"D"</formula>
    </cfRule>
  </conditionalFormatting>
  <conditionalFormatting sqref="E12:F12">
    <cfRule type="cellIs" priority="10" dxfId="6" operator="equal" stopIfTrue="1">
      <formula>"E"</formula>
    </cfRule>
  </conditionalFormatting>
  <conditionalFormatting sqref="E13:F13">
    <cfRule type="cellIs" priority="9" dxfId="7" operator="equal" stopIfTrue="1">
      <formula>"F"</formula>
    </cfRule>
  </conditionalFormatting>
  <conditionalFormatting sqref="X17:BB47">
    <cfRule type="cellIs" priority="3" dxfId="7" operator="equal" stopIfTrue="1">
      <formula>"F"</formula>
    </cfRule>
    <cfRule type="cellIs" priority="4" dxfId="6" operator="equal" stopIfTrue="1">
      <formula>"E"</formula>
    </cfRule>
    <cfRule type="cellIs" priority="5" dxfId="5" operator="equal" stopIfTrue="1">
      <formula>"D"</formula>
    </cfRule>
    <cfRule type="cellIs" priority="6" dxfId="4" operator="equal" stopIfTrue="1">
      <formula>"C"</formula>
    </cfRule>
    <cfRule type="cellIs" priority="7" dxfId="3" operator="equal" stopIfTrue="1">
      <formula>"B"</formula>
    </cfRule>
    <cfRule type="cellIs" priority="8" dxfId="2" operator="equal" stopIfTrue="1">
      <formula>"A"</formula>
    </cfRule>
  </conditionalFormatting>
  <conditionalFormatting sqref="A77">
    <cfRule type="cellIs" priority="2" dxfId="0" operator="equal" stopIfTrue="1">
      <formula>0</formula>
    </cfRule>
  </conditionalFormatting>
  <conditionalFormatting sqref="A78">
    <cfRule type="cellIs" priority="1" dxfId="0" operator="equal" stopIfTrue="1">
      <formula>0</formula>
    </cfRule>
  </conditionalFormatting>
  <dataValidations count="16">
    <dataValidation type="list" allowBlank="1" showInputMessage="1" showErrorMessage="1" sqref="G8:G13">
      <formula1>duration3</formula1>
    </dataValidation>
    <dataValidation type="list" showDropDown="1" showInputMessage="1" showErrorMessage="1" sqref="X17:BB49">
      <formula1>Codes2</formula1>
    </dataValidation>
    <dataValidation type="list" allowBlank="1" showInputMessage="1" showErrorMessage="1" sqref="G49">
      <formula1>reklama3</formula1>
    </dataValidation>
    <dataValidation type="list" showInputMessage="1" showErrorMessage="1" sqref="BC17:BC49">
      <formula1>Positions2</formula1>
    </dataValidation>
    <dataValidation type="list" allowBlank="1" showInputMessage="1" showErrorMessage="1" sqref="G50">
      <formula1>Reklama</formula1>
    </dataValidation>
    <dataValidation type="list" allowBlank="1" showInputMessage="1" showErrorMessage="1" sqref="C49">
      <formula1>newdays1</formula1>
    </dataValidation>
    <dataValidation type="list" allowBlank="1" showInputMessage="1" showErrorMessage="1" sqref="D49">
      <formula1>time3</formula1>
    </dataValidation>
    <dataValidation type="list" showInputMessage="1" showErrorMessage="1" sqref="BD17:BE49">
      <formula1>percent1</formula1>
    </dataValidation>
    <dataValidation showInputMessage="1" showErrorMessage="1" sqref="BI17:BJ49"/>
    <dataValidation type="list" allowBlank="1" showInputMessage="1" showErrorMessage="1" sqref="C17:C48">
      <formula1>"mon-sun"</formula1>
    </dataValidation>
    <dataValidation type="list" allowBlank="1" showInputMessage="1" showErrorMessage="1" sqref="D17:D48">
      <formula1>time100</formula1>
    </dataValidation>
    <dataValidation type="list" allowBlank="1" showInputMessage="1" showErrorMessage="1" sqref="B56">
      <formula1>agent</formula1>
    </dataValidation>
    <dataValidation type="list" allowBlank="1" showInputMessage="1" showErrorMessage="1" sqref="X8:X13">
      <formula1>"Да,"</formula1>
    </dataValidation>
    <dataValidation type="list" allowBlank="1" showInputMessage="1" showErrorMessage="1" sqref="G17:G48">
      <formula1>reklama9</formula1>
    </dataValidation>
    <dataValidation type="list" allowBlank="1" showInputMessage="1" showErrorMessage="1" sqref="B57">
      <formula1>obemna</formula1>
    </dataValidation>
    <dataValidation type="list" allowBlank="1" showInputMessage="1" showErrorMessage="1" sqref="B6:B7">
      <formula1>$AD$7:$AD$8</formula1>
    </dataValidation>
  </dataValidations>
  <printOptions/>
  <pageMargins left="0.5511811023622047" right="0.31496062992125984" top="0.5511811023622047" bottom="1.062992125984252" header="0.5118110236220472" footer="0.5118110236220472"/>
  <pageSetup fitToHeight="0" fitToWidth="1" horizontalDpi="600" verticalDpi="600" orientation="landscape" paperSize="9" scale="39" r:id="rId4"/>
  <headerFooter alignWithMargins="0">
    <oddHeader>&amp;LБНТ Свят фиксирани цени за реклама</oddHeader>
  </headerFooter>
  <ignoredErrors>
    <ignoredError sqref="F13 F9 F10 F11 F12 L50:V50 J8:J13 C55 I53:J53 I51:J51 I52:J52 H51 H50:J50 H53 H52 E7 X7 J7 G7:H7 A71:B73 B76:B78 A76 A68:B68 A79 W49 K18:V48 BF16:BJ16 A16:J16 BC16:BD16 BF50:BJ50 C57:I58 BQ18:BQ48 BL49:BL50 BQ49:BQ50 X51 C82:F84 C75:D75 C77:F79 K17:V17 W17:W48 C63 C59:C62 BQ17 BL17:BP48 AZ52:BB52 AS52:AX52 AL52:AQ52 AE52:AJ52 X52:AD52 AK52 AR52 AY52 AZ51:BB51 AS51:AX51 AL51:AQ51 AE51:AJ51 AD51 AK51 AR51 AY51 A77:A78 F75 E68 B62 B58 B59:B61 B63:B64 A58:A64 B54:B55 A54 A56:B57 A55 C7" unlockedFormula="1"/>
    <ignoredError sqref="H8:H13 E9:E13 P49 V49 BM49:BP50 X53:BB53 X50 Y50:BB50" emptyCellReference="1" unlockedFormula="1"/>
    <ignoredError sqref="E17:F48 H17:H48 I17 BI17:BI48" emptyCellReference="1"/>
    <ignoredError sqref="X50 Y50:BB50" formulaRange="1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3"/>
  <sheetViews>
    <sheetView showGridLines="0" zoomScale="130" zoomScaleNormal="130" zoomScalePageLayoutView="0" workbookViewId="0" topLeftCell="A1">
      <selection activeCell="N32" sqref="N32"/>
    </sheetView>
  </sheetViews>
  <sheetFormatPr defaultColWidth="9.140625" defaultRowHeight="12.75"/>
  <cols>
    <col min="1" max="1" width="5.28125" style="95" customWidth="1"/>
    <col min="2" max="2" width="6.7109375" style="95" customWidth="1"/>
    <col min="3" max="3" width="22.00390625" style="95" customWidth="1"/>
    <col min="4" max="4" width="7.28125" style="95" customWidth="1"/>
    <col min="5" max="5" width="6.140625" style="96" customWidth="1"/>
    <col min="6" max="6" width="5.57421875" style="96" customWidth="1"/>
    <col min="7" max="8" width="5.57421875" style="95" customWidth="1"/>
    <col min="9" max="9" width="5.8515625" style="95" customWidth="1"/>
    <col min="10" max="10" width="35.00390625" style="95" customWidth="1"/>
    <col min="11" max="11" width="7.8515625" style="95" customWidth="1"/>
    <col min="12" max="12" width="7.140625" style="95" customWidth="1"/>
    <col min="13" max="13" width="6.140625" style="95" customWidth="1"/>
    <col min="14" max="14" width="10.7109375" style="95" customWidth="1"/>
    <col min="15" max="15" width="6.7109375" style="95" customWidth="1"/>
    <col min="16" max="16" width="7.28125" style="95" customWidth="1"/>
    <col min="17" max="17" width="7.8515625" style="95" customWidth="1"/>
    <col min="18" max="18" width="9.7109375" style="95" customWidth="1"/>
    <col min="19" max="19" width="5.7109375" style="95" customWidth="1"/>
    <col min="20" max="20" width="9.140625" style="95" customWidth="1"/>
    <col min="21" max="21" width="11.421875" style="95" customWidth="1"/>
    <col min="22" max="22" width="7.00390625" style="95" customWidth="1"/>
    <col min="23" max="24" width="9.140625" style="95" customWidth="1"/>
    <col min="25" max="16384" width="9.140625" style="95" customWidth="1"/>
  </cols>
  <sheetData>
    <row r="1" spans="10:20" ht="12">
      <c r="J1" s="338" t="s">
        <v>38</v>
      </c>
      <c r="K1" s="338"/>
      <c r="L1" s="338"/>
      <c r="M1" s="338"/>
      <c r="N1" s="338"/>
      <c r="O1" s="338"/>
      <c r="P1" s="338"/>
      <c r="Q1" s="338"/>
      <c r="R1" s="338"/>
      <c r="S1" s="338"/>
      <c r="T1" s="338"/>
    </row>
    <row r="2" spans="2:10" ht="12">
      <c r="B2" s="95" t="s">
        <v>44</v>
      </c>
      <c r="C2" s="148" t="s">
        <v>95</v>
      </c>
      <c r="D2" s="96"/>
      <c r="J2" s="95" t="s">
        <v>37</v>
      </c>
    </row>
    <row r="3" spans="3:18" ht="24" customHeight="1">
      <c r="C3" s="95" t="s">
        <v>82</v>
      </c>
      <c r="D3" s="101">
        <v>1.2</v>
      </c>
      <c r="E3" s="97"/>
      <c r="F3" s="97"/>
      <c r="J3" s="95" t="s">
        <v>32</v>
      </c>
      <c r="K3" s="193" t="s">
        <v>33</v>
      </c>
      <c r="L3" s="193" t="s">
        <v>34</v>
      </c>
      <c r="M3" s="193" t="s">
        <v>46</v>
      </c>
      <c r="N3" s="98" t="s">
        <v>48</v>
      </c>
      <c r="O3" s="193" t="s">
        <v>35</v>
      </c>
      <c r="P3" s="193" t="s">
        <v>36</v>
      </c>
      <c r="R3" s="95" t="s">
        <v>70</v>
      </c>
    </row>
    <row r="4" spans="3:19" ht="10.5" customHeight="1">
      <c r="C4" s="95" t="s">
        <v>85</v>
      </c>
      <c r="D4" s="101">
        <v>1.2</v>
      </c>
      <c r="E4" s="97"/>
      <c r="F4" s="97"/>
      <c r="G4" s="99">
        <v>0.01</v>
      </c>
      <c r="K4" s="100">
        <v>630</v>
      </c>
      <c r="L4" s="100">
        <v>504</v>
      </c>
      <c r="M4" s="100">
        <v>1470</v>
      </c>
      <c r="N4" s="100">
        <v>2370</v>
      </c>
      <c r="O4" s="100">
        <v>1176</v>
      </c>
      <c r="P4" s="100">
        <v>300</v>
      </c>
      <c r="R4" s="98" t="s">
        <v>93</v>
      </c>
      <c r="S4" s="95">
        <v>2</v>
      </c>
    </row>
    <row r="5" spans="3:19" ht="9.75" customHeight="1">
      <c r="C5" s="95" t="s">
        <v>86</v>
      </c>
      <c r="D5" s="101">
        <v>1.2</v>
      </c>
      <c r="E5" s="97"/>
      <c r="F5" s="97"/>
      <c r="G5" s="99">
        <v>0.02</v>
      </c>
      <c r="K5" s="100">
        <v>630</v>
      </c>
      <c r="L5" s="100">
        <v>966</v>
      </c>
      <c r="M5" s="100">
        <v>840</v>
      </c>
      <c r="N5" s="100">
        <v>2770</v>
      </c>
      <c r="O5" s="100">
        <v>1470</v>
      </c>
      <c r="P5" s="100">
        <v>300</v>
      </c>
      <c r="R5" s="98" t="s">
        <v>97</v>
      </c>
      <c r="S5" s="95">
        <v>3</v>
      </c>
    </row>
    <row r="6" spans="3:19" ht="9.75" customHeight="1">
      <c r="C6" s="95" t="s">
        <v>87</v>
      </c>
      <c r="D6" s="101">
        <v>1.2</v>
      </c>
      <c r="E6" s="97"/>
      <c r="F6" s="97"/>
      <c r="G6" s="99">
        <v>0.03</v>
      </c>
      <c r="K6" s="100">
        <v>630</v>
      </c>
      <c r="L6" s="100">
        <v>966</v>
      </c>
      <c r="M6" s="100">
        <v>1060</v>
      </c>
      <c r="N6" s="100">
        <v>2770</v>
      </c>
      <c r="O6" s="100">
        <v>1176</v>
      </c>
      <c r="P6" s="100">
        <v>300</v>
      </c>
      <c r="R6" s="98" t="s">
        <v>67</v>
      </c>
      <c r="S6" s="95">
        <v>4</v>
      </c>
    </row>
    <row r="7" spans="3:19" ht="9.75" customHeight="1">
      <c r="C7" s="95" t="s">
        <v>88</v>
      </c>
      <c r="D7" s="101">
        <v>1.2</v>
      </c>
      <c r="E7" s="97"/>
      <c r="F7" s="97"/>
      <c r="G7" s="99">
        <v>0.04</v>
      </c>
      <c r="R7" s="98" t="s">
        <v>68</v>
      </c>
      <c r="S7" s="95">
        <v>5</v>
      </c>
    </row>
    <row r="8" spans="3:19" ht="9.75" customHeight="1">
      <c r="C8" s="95" t="s">
        <v>83</v>
      </c>
      <c r="D8" s="101">
        <v>1.3</v>
      </c>
      <c r="E8" s="97"/>
      <c r="F8" s="97"/>
      <c r="G8" s="99">
        <v>0.05</v>
      </c>
      <c r="J8" s="102" t="s">
        <v>55</v>
      </c>
      <c r="K8" s="340" t="s">
        <v>56</v>
      </c>
      <c r="L8" s="340"/>
      <c r="M8" s="340"/>
      <c r="R8" s="98" t="s">
        <v>46</v>
      </c>
      <c r="S8" s="95">
        <v>6</v>
      </c>
    </row>
    <row r="9" spans="3:19" ht="9.75" customHeight="1">
      <c r="C9" s="95" t="s">
        <v>84</v>
      </c>
      <c r="D9" s="101">
        <v>1.2</v>
      </c>
      <c r="E9" s="97"/>
      <c r="F9" s="97"/>
      <c r="G9" s="99">
        <v>0.06</v>
      </c>
      <c r="J9" s="103" t="s">
        <v>57</v>
      </c>
      <c r="K9" s="103" t="s">
        <v>47</v>
      </c>
      <c r="L9" s="103" t="s">
        <v>41</v>
      </c>
      <c r="M9" s="103" t="s">
        <v>54</v>
      </c>
      <c r="R9" s="98" t="s">
        <v>48</v>
      </c>
      <c r="S9" s="95">
        <v>7</v>
      </c>
    </row>
    <row r="10" spans="3:19" ht="9.75" customHeight="1">
      <c r="C10" s="95" t="s">
        <v>94</v>
      </c>
      <c r="D10" s="101">
        <v>1.3</v>
      </c>
      <c r="E10" s="97"/>
      <c r="F10" s="97"/>
      <c r="G10" s="99">
        <v>0.07</v>
      </c>
      <c r="J10" s="104" t="s">
        <v>89</v>
      </c>
      <c r="K10" s="105">
        <v>80</v>
      </c>
      <c r="L10" s="105">
        <v>80</v>
      </c>
      <c r="M10" s="105">
        <v>80</v>
      </c>
      <c r="R10" s="98" t="s">
        <v>49</v>
      </c>
      <c r="S10" s="95">
        <v>8</v>
      </c>
    </row>
    <row r="11" spans="2:19" ht="9.75" customHeight="1">
      <c r="B11" s="95" t="s">
        <v>10</v>
      </c>
      <c r="C11" s="106" t="s">
        <v>62</v>
      </c>
      <c r="D11" s="106"/>
      <c r="E11" s="97"/>
      <c r="F11" s="97"/>
      <c r="G11" s="99">
        <v>0.08</v>
      </c>
      <c r="J11" s="104" t="s">
        <v>90</v>
      </c>
      <c r="K11" s="105">
        <v>60</v>
      </c>
      <c r="L11" s="105">
        <v>60</v>
      </c>
      <c r="M11" s="105">
        <v>60</v>
      </c>
      <c r="R11" s="98" t="s">
        <v>69</v>
      </c>
      <c r="S11" s="95">
        <v>9</v>
      </c>
    </row>
    <row r="12" spans="3:19" ht="9.75" customHeight="1">
      <c r="C12" s="95" t="s">
        <v>6</v>
      </c>
      <c r="E12" s="97"/>
      <c r="F12" s="97"/>
      <c r="G12" s="99">
        <v>0.09</v>
      </c>
      <c r="J12" s="104" t="s">
        <v>91</v>
      </c>
      <c r="K12" s="105">
        <v>50</v>
      </c>
      <c r="L12" s="105">
        <v>50</v>
      </c>
      <c r="M12" s="105">
        <v>50</v>
      </c>
      <c r="R12" s="98" t="s">
        <v>36</v>
      </c>
      <c r="S12" s="95">
        <v>10</v>
      </c>
    </row>
    <row r="13" spans="3:15" ht="9.75" customHeight="1">
      <c r="C13" s="95" t="s">
        <v>7</v>
      </c>
      <c r="E13" s="97"/>
      <c r="F13" s="97"/>
      <c r="G13" s="99">
        <v>0.1</v>
      </c>
      <c r="J13" s="95" t="s">
        <v>98</v>
      </c>
      <c r="O13" s="95" t="s">
        <v>99</v>
      </c>
    </row>
    <row r="14" spans="3:17" ht="9.75" customHeight="1">
      <c r="C14" s="95" t="s">
        <v>8</v>
      </c>
      <c r="E14" s="97"/>
      <c r="F14" s="97"/>
      <c r="G14" s="99">
        <v>0.11</v>
      </c>
      <c r="J14" s="339" t="s">
        <v>39</v>
      </c>
      <c r="K14" s="341" t="s">
        <v>40</v>
      </c>
      <c r="L14" s="342"/>
      <c r="M14" s="343"/>
      <c r="N14" s="339" t="s">
        <v>39</v>
      </c>
      <c r="O14" s="341" t="s">
        <v>40</v>
      </c>
      <c r="P14" s="342"/>
      <c r="Q14" s="343"/>
    </row>
    <row r="15" spans="3:17" ht="9.75" customHeight="1">
      <c r="C15" s="95" t="s">
        <v>9</v>
      </c>
      <c r="E15" s="97"/>
      <c r="F15" s="97"/>
      <c r="G15" s="99">
        <v>0.12</v>
      </c>
      <c r="J15" s="339"/>
      <c r="K15" s="186" t="s">
        <v>53</v>
      </c>
      <c r="L15" s="186" t="s">
        <v>103</v>
      </c>
      <c r="M15" s="186" t="s">
        <v>102</v>
      </c>
      <c r="N15" s="339"/>
      <c r="O15" s="186" t="s">
        <v>53</v>
      </c>
      <c r="P15" s="186" t="s">
        <v>103</v>
      </c>
      <c r="Q15" s="186" t="s">
        <v>102</v>
      </c>
    </row>
    <row r="16" spans="3:17" ht="9.75" customHeight="1">
      <c r="C16" s="95" t="s">
        <v>61</v>
      </c>
      <c r="E16" s="97"/>
      <c r="F16" s="97"/>
      <c r="G16" s="99">
        <v>0.13</v>
      </c>
      <c r="J16" s="98" t="s">
        <v>100</v>
      </c>
      <c r="K16" s="194">
        <v>180</v>
      </c>
      <c r="L16" s="194">
        <v>180</v>
      </c>
      <c r="M16" s="194">
        <v>180</v>
      </c>
      <c r="N16" s="98" t="s">
        <v>100</v>
      </c>
      <c r="O16" s="194">
        <v>180</v>
      </c>
      <c r="P16" s="194">
        <v>180</v>
      </c>
      <c r="Q16" s="194">
        <v>180</v>
      </c>
    </row>
    <row r="17" spans="2:17" ht="9.75" customHeight="1">
      <c r="B17" s="95">
        <v>5</v>
      </c>
      <c r="C17" s="99">
        <v>0.55</v>
      </c>
      <c r="E17" s="97"/>
      <c r="F17" s="97"/>
      <c r="G17" s="99">
        <v>0.14</v>
      </c>
      <c r="J17" s="98" t="s">
        <v>101</v>
      </c>
      <c r="K17" s="194">
        <v>180</v>
      </c>
      <c r="L17" s="194">
        <v>180</v>
      </c>
      <c r="M17" s="194">
        <v>180</v>
      </c>
      <c r="N17" s="98" t="s">
        <v>101</v>
      </c>
      <c r="O17" s="194">
        <v>180</v>
      </c>
      <c r="P17" s="194">
        <v>180</v>
      </c>
      <c r="Q17" s="194">
        <v>180</v>
      </c>
    </row>
    <row r="18" spans="2:17" ht="9.75" customHeight="1">
      <c r="B18" s="95">
        <v>6</v>
      </c>
      <c r="C18" s="99">
        <v>0.55</v>
      </c>
      <c r="E18" s="97"/>
      <c r="F18" s="97"/>
      <c r="G18" s="99">
        <v>0.15</v>
      </c>
      <c r="J18" s="98" t="s">
        <v>52</v>
      </c>
      <c r="K18" s="194">
        <v>220</v>
      </c>
      <c r="L18" s="194">
        <v>220</v>
      </c>
      <c r="M18" s="194">
        <v>220</v>
      </c>
      <c r="N18" s="98" t="s">
        <v>52</v>
      </c>
      <c r="O18" s="194">
        <v>220</v>
      </c>
      <c r="P18" s="194">
        <v>220</v>
      </c>
      <c r="Q18" s="194">
        <v>220</v>
      </c>
    </row>
    <row r="19" spans="2:17" ht="9.75" customHeight="1">
      <c r="B19" s="95">
        <v>7</v>
      </c>
      <c r="C19" s="99">
        <v>0.55</v>
      </c>
      <c r="E19" s="97"/>
      <c r="F19" s="97"/>
      <c r="G19" s="99">
        <v>0.16</v>
      </c>
      <c r="J19" s="98" t="s">
        <v>105</v>
      </c>
      <c r="K19" s="194">
        <v>250</v>
      </c>
      <c r="L19" s="194">
        <v>250</v>
      </c>
      <c r="M19" s="194">
        <v>250</v>
      </c>
      <c r="N19" s="98" t="s">
        <v>48</v>
      </c>
      <c r="O19" s="194">
        <v>250</v>
      </c>
      <c r="P19" s="194">
        <v>250</v>
      </c>
      <c r="Q19" s="194">
        <v>250</v>
      </c>
    </row>
    <row r="20" spans="2:17" ht="9.75" customHeight="1">
      <c r="B20" s="95">
        <v>8</v>
      </c>
      <c r="C20" s="99">
        <v>0.6</v>
      </c>
      <c r="E20" s="97"/>
      <c r="F20" s="97"/>
      <c r="G20" s="99">
        <v>0.17</v>
      </c>
      <c r="J20" s="98" t="s">
        <v>35</v>
      </c>
      <c r="K20" s="194">
        <v>250</v>
      </c>
      <c r="L20" s="194">
        <v>250</v>
      </c>
      <c r="M20" s="194">
        <v>250</v>
      </c>
      <c r="N20" s="98" t="s">
        <v>35</v>
      </c>
      <c r="O20" s="194">
        <v>250</v>
      </c>
      <c r="P20" s="194">
        <v>250</v>
      </c>
      <c r="Q20" s="194">
        <v>250</v>
      </c>
    </row>
    <row r="21" spans="2:17" ht="9.75" customHeight="1">
      <c r="B21" s="95">
        <v>9</v>
      </c>
      <c r="C21" s="99">
        <v>0.6</v>
      </c>
      <c r="E21" s="97"/>
      <c r="F21" s="97"/>
      <c r="G21" s="99">
        <v>0.18</v>
      </c>
      <c r="J21" s="98" t="s">
        <v>58</v>
      </c>
      <c r="K21" s="194">
        <v>150</v>
      </c>
      <c r="L21" s="194">
        <v>150</v>
      </c>
      <c r="M21" s="194">
        <v>150</v>
      </c>
      <c r="N21" s="98" t="s">
        <v>58</v>
      </c>
      <c r="O21" s="194">
        <v>150</v>
      </c>
      <c r="P21" s="194">
        <v>150</v>
      </c>
      <c r="Q21" s="194">
        <v>150</v>
      </c>
    </row>
    <row r="22" spans="2:7" ht="9.75" customHeight="1">
      <c r="B22" s="95">
        <v>10</v>
      </c>
      <c r="C22" s="99">
        <v>0.6</v>
      </c>
      <c r="E22" s="97"/>
      <c r="F22" s="97"/>
      <c r="G22" s="99">
        <v>0.19</v>
      </c>
    </row>
    <row r="23" spans="2:7" ht="9.75" customHeight="1">
      <c r="B23" s="95">
        <v>11</v>
      </c>
      <c r="C23" s="99">
        <v>0.6</v>
      </c>
      <c r="E23" s="97"/>
      <c r="F23" s="97"/>
      <c r="G23" s="99">
        <v>0.2</v>
      </c>
    </row>
    <row r="24" spans="2:12" ht="9.75" customHeight="1">
      <c r="B24" s="95">
        <v>12</v>
      </c>
      <c r="C24" s="99">
        <v>0.6</v>
      </c>
      <c r="E24" s="97"/>
      <c r="F24" s="97"/>
      <c r="G24" s="99">
        <v>0.21</v>
      </c>
      <c r="J24" s="99"/>
      <c r="K24" s="99"/>
      <c r="L24" s="99"/>
    </row>
    <row r="25" spans="2:23" ht="9.75" customHeight="1">
      <c r="B25" s="95">
        <v>13</v>
      </c>
      <c r="C25" s="99">
        <v>0.75</v>
      </c>
      <c r="E25" s="97"/>
      <c r="F25" s="97"/>
      <c r="G25" s="99">
        <v>0.22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2:14" ht="9.75" customHeight="1">
      <c r="B26" s="95">
        <v>14</v>
      </c>
      <c r="C26" s="99">
        <v>0.75</v>
      </c>
      <c r="E26" s="97"/>
      <c r="F26" s="97"/>
      <c r="G26" s="99">
        <v>0.23</v>
      </c>
      <c r="J26" s="99"/>
      <c r="K26" s="99"/>
      <c r="L26" s="99"/>
      <c r="M26" s="99"/>
      <c r="N26" s="99"/>
    </row>
    <row r="27" spans="2:18" ht="9.75" customHeight="1">
      <c r="B27" s="95">
        <v>15</v>
      </c>
      <c r="C27" s="99">
        <v>0.75</v>
      </c>
      <c r="E27" s="97"/>
      <c r="F27" s="97"/>
      <c r="G27" s="99">
        <v>0.24</v>
      </c>
      <c r="J27" s="99"/>
      <c r="K27" s="99"/>
      <c r="L27" s="99"/>
      <c r="M27" s="99"/>
      <c r="N27" s="99"/>
      <c r="O27" s="99"/>
      <c r="P27" s="99"/>
      <c r="Q27" s="99"/>
      <c r="R27" s="99"/>
    </row>
    <row r="28" spans="2:14" ht="9.75" customHeight="1">
      <c r="B28" s="95">
        <v>16</v>
      </c>
      <c r="C28" s="99">
        <v>0.75</v>
      </c>
      <c r="E28" s="97"/>
      <c r="F28" s="97"/>
      <c r="G28" s="99">
        <v>0.25</v>
      </c>
      <c r="J28" s="99"/>
      <c r="K28" s="99"/>
      <c r="L28" s="99"/>
      <c r="M28" s="99"/>
      <c r="N28" s="99"/>
    </row>
    <row r="29" spans="2:12" ht="9.75" customHeight="1">
      <c r="B29" s="95">
        <v>17</v>
      </c>
      <c r="C29" s="99">
        <v>0.75</v>
      </c>
      <c r="E29" s="97"/>
      <c r="F29" s="97"/>
      <c r="G29" s="99">
        <v>0.26</v>
      </c>
      <c r="J29" s="99"/>
      <c r="K29" s="99"/>
      <c r="L29" s="99"/>
    </row>
    <row r="30" spans="2:12" ht="9.75" customHeight="1">
      <c r="B30" s="95">
        <v>18</v>
      </c>
      <c r="C30" s="99">
        <v>0.9</v>
      </c>
      <c r="E30" s="97"/>
      <c r="F30" s="97"/>
      <c r="G30" s="99">
        <v>0.27</v>
      </c>
      <c r="J30" s="99"/>
      <c r="K30" s="99"/>
      <c r="L30" s="99"/>
    </row>
    <row r="31" spans="2:12" ht="9.75" customHeight="1">
      <c r="B31" s="95">
        <v>19</v>
      </c>
      <c r="C31" s="99">
        <v>0.9</v>
      </c>
      <c r="E31" s="97"/>
      <c r="F31" s="97"/>
      <c r="G31" s="99">
        <v>0.28</v>
      </c>
      <c r="J31" s="99"/>
      <c r="K31" s="99"/>
      <c r="L31" s="99"/>
    </row>
    <row r="32" spans="2:12" ht="9.75" customHeight="1">
      <c r="B32" s="95">
        <v>20</v>
      </c>
      <c r="C32" s="99">
        <v>0.9</v>
      </c>
      <c r="E32" s="97"/>
      <c r="F32" s="97"/>
      <c r="G32" s="99">
        <v>0.29</v>
      </c>
      <c r="J32" s="99"/>
      <c r="K32" s="99"/>
      <c r="L32" s="99"/>
    </row>
    <row r="33" spans="2:13" ht="9.75" customHeight="1">
      <c r="B33" s="95">
        <v>21</v>
      </c>
      <c r="C33" s="99">
        <v>0.9</v>
      </c>
      <c r="E33" s="97"/>
      <c r="F33" s="97"/>
      <c r="G33" s="99">
        <v>0.3</v>
      </c>
      <c r="J33" s="99"/>
      <c r="K33" s="99"/>
      <c r="L33" s="99"/>
      <c r="M33" s="99"/>
    </row>
    <row r="34" spans="2:6" ht="9.75" customHeight="1">
      <c r="B34" s="95">
        <v>22</v>
      </c>
      <c r="C34" s="99">
        <v>0.9</v>
      </c>
      <c r="E34" s="97"/>
      <c r="F34" s="97"/>
    </row>
    <row r="35" spans="2:6" ht="9.75" customHeight="1">
      <c r="B35" s="95">
        <v>23</v>
      </c>
      <c r="C35" s="99">
        <v>0.95</v>
      </c>
      <c r="E35" s="97"/>
      <c r="F35" s="97"/>
    </row>
    <row r="36" spans="1:6" ht="9.75" customHeight="1">
      <c r="A36" s="107"/>
      <c r="B36" s="95">
        <v>24</v>
      </c>
      <c r="C36" s="99">
        <v>0.95</v>
      </c>
      <c r="E36" s="97"/>
      <c r="F36" s="97"/>
    </row>
    <row r="37" spans="2:6" ht="9.75" customHeight="1">
      <c r="B37" s="95">
        <v>25</v>
      </c>
      <c r="C37" s="99">
        <v>0.95</v>
      </c>
      <c r="E37" s="97"/>
      <c r="F37" s="97"/>
    </row>
    <row r="38" spans="2:6" ht="9.75" customHeight="1">
      <c r="B38" s="95">
        <v>26</v>
      </c>
      <c r="C38" s="99">
        <v>0.95</v>
      </c>
      <c r="E38" s="97"/>
      <c r="F38" s="97"/>
    </row>
    <row r="39" spans="2:6" ht="9.75" customHeight="1">
      <c r="B39" s="95">
        <v>27</v>
      </c>
      <c r="C39" s="99">
        <v>0.95</v>
      </c>
      <c r="E39" s="97"/>
      <c r="F39" s="97"/>
    </row>
    <row r="40" spans="2:6" ht="9.75" customHeight="1">
      <c r="B40" s="95">
        <v>28</v>
      </c>
      <c r="C40" s="99">
        <v>1</v>
      </c>
      <c r="E40" s="97"/>
      <c r="F40" s="97"/>
    </row>
    <row r="41" spans="2:6" ht="9.75" customHeight="1">
      <c r="B41" s="95">
        <v>29</v>
      </c>
      <c r="C41" s="99">
        <v>1</v>
      </c>
      <c r="E41" s="97"/>
      <c r="F41" s="97"/>
    </row>
    <row r="42" spans="2:17" ht="9.75" customHeight="1">
      <c r="B42" s="95">
        <v>30</v>
      </c>
      <c r="C42" s="99">
        <v>1</v>
      </c>
      <c r="E42" s="97"/>
      <c r="F42" s="97"/>
      <c r="N42" s="108" t="s">
        <v>59</v>
      </c>
      <c r="O42" s="109" t="s">
        <v>63</v>
      </c>
      <c r="P42" s="108" t="s">
        <v>59</v>
      </c>
      <c r="Q42" s="109" t="s">
        <v>63</v>
      </c>
    </row>
    <row r="43" spans="2:17" ht="9.75" customHeight="1">
      <c r="B43" s="95">
        <v>31</v>
      </c>
      <c r="C43" s="99">
        <v>1</v>
      </c>
      <c r="E43" s="97"/>
      <c r="F43" s="97"/>
      <c r="N43" s="110" t="s">
        <v>74</v>
      </c>
      <c r="O43" s="110">
        <v>1</v>
      </c>
      <c r="P43" s="117" t="s">
        <v>74</v>
      </c>
      <c r="Q43" s="110">
        <v>1</v>
      </c>
    </row>
    <row r="44" spans="2:17" ht="9.75" customHeight="1">
      <c r="B44" s="95">
        <v>32</v>
      </c>
      <c r="C44" s="99">
        <v>1</v>
      </c>
      <c r="E44" s="97"/>
      <c r="F44" s="97"/>
      <c r="N44" s="110" t="s">
        <v>75</v>
      </c>
      <c r="O44" s="110">
        <v>0.5</v>
      </c>
      <c r="P44" s="117" t="s">
        <v>75</v>
      </c>
      <c r="Q44" s="110">
        <v>0.5</v>
      </c>
    </row>
    <row r="45" spans="2:17" ht="9.75" customHeight="1">
      <c r="B45" s="95">
        <v>33</v>
      </c>
      <c r="C45" s="99">
        <v>1.2</v>
      </c>
      <c r="E45" s="97"/>
      <c r="F45" s="97"/>
      <c r="N45" s="110" t="s">
        <v>76</v>
      </c>
      <c r="O45" s="110">
        <v>0.5</v>
      </c>
      <c r="P45" s="117" t="s">
        <v>76</v>
      </c>
      <c r="Q45" s="110">
        <v>0.5</v>
      </c>
    </row>
    <row r="46" spans="2:17" ht="9.75" customHeight="1">
      <c r="B46" s="95">
        <v>34</v>
      </c>
      <c r="C46" s="99">
        <v>1.2</v>
      </c>
      <c r="E46" s="97"/>
      <c r="F46" s="97"/>
      <c r="N46" s="110" t="s">
        <v>77</v>
      </c>
      <c r="O46" s="110">
        <v>1</v>
      </c>
      <c r="P46" s="117" t="s">
        <v>77</v>
      </c>
      <c r="Q46" s="110">
        <v>1</v>
      </c>
    </row>
    <row r="47" spans="2:17" ht="9.75" customHeight="1">
      <c r="B47" s="95">
        <v>35</v>
      </c>
      <c r="C47" s="99">
        <v>1.2</v>
      </c>
      <c r="E47" s="97"/>
      <c r="F47" s="97"/>
      <c r="N47" s="110" t="s">
        <v>60</v>
      </c>
      <c r="O47" s="110">
        <v>0.7</v>
      </c>
      <c r="P47" s="117" t="s">
        <v>60</v>
      </c>
      <c r="Q47" s="110">
        <v>0.7</v>
      </c>
    </row>
    <row r="48" spans="2:17" ht="9.75" customHeight="1">
      <c r="B48" s="95">
        <v>36</v>
      </c>
      <c r="C48" s="99">
        <v>1.2</v>
      </c>
      <c r="E48" s="97"/>
      <c r="F48" s="97"/>
      <c r="N48" s="95" t="s">
        <v>78</v>
      </c>
      <c r="O48" s="110">
        <v>1</v>
      </c>
      <c r="P48" s="118" t="s">
        <v>80</v>
      </c>
      <c r="Q48" s="110">
        <v>1</v>
      </c>
    </row>
    <row r="49" spans="2:17" ht="9.75" customHeight="1">
      <c r="B49" s="95">
        <v>37</v>
      </c>
      <c r="C49" s="99">
        <v>1.2</v>
      </c>
      <c r="D49" s="111"/>
      <c r="E49" s="97"/>
      <c r="F49" s="97"/>
      <c r="N49" s="106" t="s">
        <v>79</v>
      </c>
      <c r="O49" s="110">
        <v>1.2</v>
      </c>
      <c r="P49" s="119" t="s">
        <v>81</v>
      </c>
      <c r="Q49" s="110">
        <v>1.2</v>
      </c>
    </row>
    <row r="50" spans="1:17" ht="9.75" customHeight="1">
      <c r="A50" s="111"/>
      <c r="B50" s="95">
        <v>38</v>
      </c>
      <c r="C50" s="99">
        <v>1.4</v>
      </c>
      <c r="E50" s="97"/>
      <c r="F50" s="97"/>
      <c r="P50" s="110"/>
      <c r="Q50" s="110"/>
    </row>
    <row r="51" spans="2:21" ht="22.5" customHeight="1">
      <c r="B51" s="95">
        <v>39</v>
      </c>
      <c r="C51" s="99">
        <v>1.4</v>
      </c>
      <c r="E51" s="97"/>
      <c r="F51" s="97"/>
      <c r="P51" s="110"/>
      <c r="Q51" s="110"/>
      <c r="U51" s="95" t="s">
        <v>70</v>
      </c>
    </row>
    <row r="52" spans="2:22" ht="9.75" customHeight="1">
      <c r="B52" s="95">
        <v>40</v>
      </c>
      <c r="C52" s="99">
        <v>1.4</v>
      </c>
      <c r="E52" s="97"/>
      <c r="F52" s="97"/>
      <c r="J52" s="95" t="s">
        <v>37</v>
      </c>
      <c r="U52" s="98" t="s">
        <v>93</v>
      </c>
      <c r="V52" s="95">
        <v>2</v>
      </c>
    </row>
    <row r="53" spans="1:22" ht="9.75" customHeight="1">
      <c r="A53" s="99"/>
      <c r="B53" s="95">
        <v>41</v>
      </c>
      <c r="C53" s="99">
        <v>1.4</v>
      </c>
      <c r="E53" s="97"/>
      <c r="F53" s="97"/>
      <c r="J53" s="95" t="s">
        <v>32</v>
      </c>
      <c r="K53" s="193" t="s">
        <v>93</v>
      </c>
      <c r="L53" s="193" t="s">
        <v>97</v>
      </c>
      <c r="M53" s="193" t="s">
        <v>67</v>
      </c>
      <c r="N53" s="193" t="s">
        <v>68</v>
      </c>
      <c r="O53" s="193" t="s">
        <v>46</v>
      </c>
      <c r="P53" s="193" t="s">
        <v>48</v>
      </c>
      <c r="Q53" s="193" t="s">
        <v>49</v>
      </c>
      <c r="R53" s="193" t="s">
        <v>69</v>
      </c>
      <c r="S53" s="193" t="s">
        <v>36</v>
      </c>
      <c r="U53" s="98" t="s">
        <v>97</v>
      </c>
      <c r="V53" s="95">
        <v>3</v>
      </c>
    </row>
    <row r="54" spans="1:22" ht="9.75" customHeight="1">
      <c r="A54" s="99"/>
      <c r="B54" s="95">
        <v>42</v>
      </c>
      <c r="C54" s="99">
        <v>1.4</v>
      </c>
      <c r="E54" s="97"/>
      <c r="F54" s="97"/>
      <c r="J54" s="95" t="s">
        <v>42</v>
      </c>
      <c r="K54" s="100">
        <v>550</v>
      </c>
      <c r="L54" s="100">
        <v>800</v>
      </c>
      <c r="M54" s="100">
        <v>1000</v>
      </c>
      <c r="N54" s="100">
        <v>720</v>
      </c>
      <c r="O54" s="100">
        <v>1200</v>
      </c>
      <c r="P54" s="100">
        <v>2400</v>
      </c>
      <c r="Q54" s="100">
        <v>1300</v>
      </c>
      <c r="R54" s="100">
        <v>950</v>
      </c>
      <c r="S54" s="100">
        <v>260</v>
      </c>
      <c r="U54" s="98" t="s">
        <v>67</v>
      </c>
      <c r="V54" s="95">
        <v>4</v>
      </c>
    </row>
    <row r="55" spans="2:22" ht="9.75" customHeight="1">
      <c r="B55" s="95">
        <v>43</v>
      </c>
      <c r="C55" s="99">
        <v>1.6</v>
      </c>
      <c r="E55" s="97"/>
      <c r="F55" s="97"/>
      <c r="J55" s="95" t="s">
        <v>104</v>
      </c>
      <c r="U55" s="98" t="s">
        <v>68</v>
      </c>
      <c r="V55" s="95">
        <v>5</v>
      </c>
    </row>
    <row r="56" spans="1:22" ht="9.75" customHeight="1">
      <c r="A56" s="99"/>
      <c r="B56" s="95">
        <v>44</v>
      </c>
      <c r="C56" s="99">
        <v>1.6</v>
      </c>
      <c r="E56" s="97"/>
      <c r="F56" s="97"/>
      <c r="U56" s="98" t="s">
        <v>46</v>
      </c>
      <c r="V56" s="95">
        <v>6</v>
      </c>
    </row>
    <row r="57" spans="1:22" ht="9.75" customHeight="1">
      <c r="A57" s="99"/>
      <c r="B57" s="95">
        <v>45</v>
      </c>
      <c r="C57" s="99">
        <v>1.6</v>
      </c>
      <c r="E57" s="97"/>
      <c r="F57" s="97"/>
      <c r="U57" s="98" t="s">
        <v>48</v>
      </c>
      <c r="V57" s="95">
        <v>7</v>
      </c>
    </row>
    <row r="58" spans="1:22" ht="9.75" customHeight="1">
      <c r="A58" s="99"/>
      <c r="B58" s="95">
        <v>46</v>
      </c>
      <c r="C58" s="99">
        <v>1.6</v>
      </c>
      <c r="E58" s="97"/>
      <c r="F58" s="97"/>
      <c r="U58" s="98" t="s">
        <v>49</v>
      </c>
      <c r="V58" s="95">
        <v>8</v>
      </c>
    </row>
    <row r="59" spans="1:22" ht="9.75" customHeight="1">
      <c r="A59" s="99"/>
      <c r="B59" s="95">
        <v>47</v>
      </c>
      <c r="C59" s="99">
        <v>1.6</v>
      </c>
      <c r="E59" s="97"/>
      <c r="F59" s="97"/>
      <c r="U59" s="98" t="s">
        <v>69</v>
      </c>
      <c r="V59" s="95">
        <v>9</v>
      </c>
    </row>
    <row r="60" spans="1:22" ht="9.75" customHeight="1">
      <c r="A60" s="99"/>
      <c r="B60" s="95">
        <v>48</v>
      </c>
      <c r="C60" s="99">
        <v>1.8</v>
      </c>
      <c r="E60" s="97"/>
      <c r="F60" s="97"/>
      <c r="U60" s="98" t="s">
        <v>36</v>
      </c>
      <c r="V60" s="95">
        <v>10</v>
      </c>
    </row>
    <row r="61" spans="1:6" ht="9.75" customHeight="1">
      <c r="A61" s="99"/>
      <c r="B61" s="95">
        <v>49</v>
      </c>
      <c r="C61" s="99">
        <v>1.8</v>
      </c>
      <c r="E61" s="97"/>
      <c r="F61" s="97"/>
    </row>
    <row r="62" spans="1:6" ht="9.75" customHeight="1">
      <c r="A62" s="99"/>
      <c r="B62" s="95">
        <v>50</v>
      </c>
      <c r="C62" s="99">
        <v>1.8</v>
      </c>
      <c r="E62" s="97"/>
      <c r="F62" s="97"/>
    </row>
    <row r="63" spans="1:6" ht="9.75" customHeight="1">
      <c r="A63" s="99"/>
      <c r="B63" s="95">
        <v>51</v>
      </c>
      <c r="C63" s="99">
        <v>1.8</v>
      </c>
      <c r="E63" s="97"/>
      <c r="F63" s="97"/>
    </row>
    <row r="64" spans="1:6" ht="9.75" customHeight="1">
      <c r="A64" s="99"/>
      <c r="B64" s="95">
        <v>52</v>
      </c>
      <c r="C64" s="99">
        <v>1.8</v>
      </c>
      <c r="E64" s="97"/>
      <c r="F64" s="97"/>
    </row>
    <row r="65" spans="1:6" ht="9.75" customHeight="1">
      <c r="A65" s="99"/>
      <c r="B65" s="95">
        <v>53</v>
      </c>
      <c r="C65" s="99">
        <v>1.9</v>
      </c>
      <c r="E65" s="97"/>
      <c r="F65" s="97"/>
    </row>
    <row r="66" spans="1:6" ht="9.75" customHeight="1">
      <c r="A66" s="99"/>
      <c r="B66" s="95">
        <v>54</v>
      </c>
      <c r="C66" s="99">
        <v>1.9</v>
      </c>
      <c r="E66" s="97"/>
      <c r="F66" s="97"/>
    </row>
    <row r="67" spans="1:6" ht="9.75" customHeight="1">
      <c r="A67" s="99"/>
      <c r="B67" s="95">
        <v>55</v>
      </c>
      <c r="C67" s="99">
        <v>1.9</v>
      </c>
      <c r="E67" s="97"/>
      <c r="F67" s="97"/>
    </row>
    <row r="68" spans="1:6" ht="9.75" customHeight="1">
      <c r="A68" s="99"/>
      <c r="B68" s="95">
        <v>56</v>
      </c>
      <c r="C68" s="99">
        <v>1.9</v>
      </c>
      <c r="E68" s="97"/>
      <c r="F68" s="97">
        <f>200/60</f>
        <v>3.3333333333333335</v>
      </c>
    </row>
    <row r="69" spans="1:6" ht="9.75" customHeight="1">
      <c r="A69" s="99"/>
      <c r="B69" s="95">
        <v>57</v>
      </c>
      <c r="C69" s="99">
        <v>1.9</v>
      </c>
      <c r="E69" s="97">
        <v>61</v>
      </c>
      <c r="F69" s="147">
        <f>E69*$F$68</f>
        <v>203.33333333333334</v>
      </c>
    </row>
    <row r="70" spans="1:6" ht="9.75" customHeight="1">
      <c r="A70" s="99"/>
      <c r="B70" s="95">
        <v>58</v>
      </c>
      <c r="C70" s="99">
        <v>2</v>
      </c>
      <c r="E70" s="97">
        <v>62</v>
      </c>
      <c r="F70" s="147">
        <f aca="true" t="shared" si="0" ref="F70:F98">E70*$F$68</f>
        <v>206.66666666666669</v>
      </c>
    </row>
    <row r="71" spans="1:6" ht="9.75" customHeight="1">
      <c r="A71" s="99"/>
      <c r="B71" s="95">
        <v>59</v>
      </c>
      <c r="C71" s="99">
        <v>2</v>
      </c>
      <c r="E71" s="97">
        <v>63</v>
      </c>
      <c r="F71" s="147">
        <f t="shared" si="0"/>
        <v>210</v>
      </c>
    </row>
    <row r="72" spans="2:6" ht="9.75" customHeight="1">
      <c r="B72" s="95">
        <v>60</v>
      </c>
      <c r="C72" s="99">
        <v>2</v>
      </c>
      <c r="E72" s="97">
        <v>64</v>
      </c>
      <c r="F72" s="147">
        <f t="shared" si="0"/>
        <v>213.33333333333334</v>
      </c>
    </row>
    <row r="73" spans="1:6" ht="9.75" customHeight="1">
      <c r="A73" s="97"/>
      <c r="B73" s="95">
        <v>61</v>
      </c>
      <c r="C73" s="99">
        <v>2.03</v>
      </c>
      <c r="E73" s="97">
        <v>65</v>
      </c>
      <c r="F73" s="147">
        <f t="shared" si="0"/>
        <v>216.66666666666669</v>
      </c>
    </row>
    <row r="74" spans="1:6" ht="9.75" customHeight="1">
      <c r="A74" s="97"/>
      <c r="B74" s="95">
        <v>62</v>
      </c>
      <c r="C74" s="99">
        <v>2.07</v>
      </c>
      <c r="E74" s="97">
        <v>66</v>
      </c>
      <c r="F74" s="147">
        <f t="shared" si="0"/>
        <v>220</v>
      </c>
    </row>
    <row r="75" spans="1:6" ht="9.75" customHeight="1">
      <c r="A75" s="97"/>
      <c r="B75" s="95">
        <v>63</v>
      </c>
      <c r="C75" s="99">
        <v>2.1</v>
      </c>
      <c r="E75" s="97">
        <v>67</v>
      </c>
      <c r="F75" s="147">
        <f t="shared" si="0"/>
        <v>223.33333333333334</v>
      </c>
    </row>
    <row r="76" spans="1:6" ht="9.75" customHeight="1">
      <c r="A76" s="97"/>
      <c r="B76" s="95">
        <v>64</v>
      </c>
      <c r="C76" s="99">
        <v>2.13</v>
      </c>
      <c r="E76" s="97">
        <v>68</v>
      </c>
      <c r="F76" s="147">
        <f t="shared" si="0"/>
        <v>226.66666666666669</v>
      </c>
    </row>
    <row r="77" spans="1:6" ht="9.75" customHeight="1">
      <c r="A77" s="97"/>
      <c r="B77" s="95">
        <v>65</v>
      </c>
      <c r="C77" s="99">
        <v>2.17</v>
      </c>
      <c r="E77" s="97">
        <v>69</v>
      </c>
      <c r="F77" s="147">
        <f t="shared" si="0"/>
        <v>230</v>
      </c>
    </row>
    <row r="78" spans="1:6" ht="9.75" customHeight="1">
      <c r="A78" s="97"/>
      <c r="B78" s="95">
        <v>66</v>
      </c>
      <c r="C78" s="99">
        <v>2.2</v>
      </c>
      <c r="E78" s="97">
        <v>70</v>
      </c>
      <c r="F78" s="147">
        <f t="shared" si="0"/>
        <v>233.33333333333334</v>
      </c>
    </row>
    <row r="79" spans="1:6" ht="9.75" customHeight="1">
      <c r="A79" s="97"/>
      <c r="B79" s="95">
        <v>67</v>
      </c>
      <c r="C79" s="99">
        <v>2.23</v>
      </c>
      <c r="E79" s="97">
        <v>71</v>
      </c>
      <c r="F79" s="147">
        <f t="shared" si="0"/>
        <v>236.66666666666669</v>
      </c>
    </row>
    <row r="80" spans="1:6" ht="9.75" customHeight="1">
      <c r="A80" s="97"/>
      <c r="B80" s="95">
        <v>68</v>
      </c>
      <c r="C80" s="99">
        <v>2.27</v>
      </c>
      <c r="E80" s="97">
        <v>72</v>
      </c>
      <c r="F80" s="147">
        <f t="shared" si="0"/>
        <v>240</v>
      </c>
    </row>
    <row r="81" spans="1:6" ht="9.75" customHeight="1">
      <c r="A81" s="97"/>
      <c r="B81" s="95">
        <v>69</v>
      </c>
      <c r="C81" s="99">
        <v>2.3</v>
      </c>
      <c r="E81" s="97">
        <v>73</v>
      </c>
      <c r="F81" s="147">
        <f t="shared" si="0"/>
        <v>243.33333333333334</v>
      </c>
    </row>
    <row r="82" spans="1:6" ht="9.75" customHeight="1">
      <c r="A82" s="97"/>
      <c r="B82" s="95">
        <v>70</v>
      </c>
      <c r="C82" s="99">
        <v>2.33</v>
      </c>
      <c r="E82" s="97">
        <v>74</v>
      </c>
      <c r="F82" s="147">
        <f t="shared" si="0"/>
        <v>246.66666666666669</v>
      </c>
    </row>
    <row r="83" spans="1:6" ht="9.75" customHeight="1">
      <c r="A83" s="97"/>
      <c r="B83" s="95">
        <v>71</v>
      </c>
      <c r="C83" s="99">
        <v>2.37</v>
      </c>
      <c r="E83" s="97">
        <v>75</v>
      </c>
      <c r="F83" s="147">
        <f t="shared" si="0"/>
        <v>250</v>
      </c>
    </row>
    <row r="84" spans="1:6" ht="9.75" customHeight="1">
      <c r="A84" s="97"/>
      <c r="B84" s="95">
        <v>72</v>
      </c>
      <c r="C84" s="99">
        <v>2.4</v>
      </c>
      <c r="E84" s="97">
        <v>76</v>
      </c>
      <c r="F84" s="147">
        <f t="shared" si="0"/>
        <v>253.33333333333334</v>
      </c>
    </row>
    <row r="85" spans="1:6" ht="9.75" customHeight="1">
      <c r="A85" s="97"/>
      <c r="B85" s="95">
        <v>73</v>
      </c>
      <c r="C85" s="99">
        <v>2.43</v>
      </c>
      <c r="E85" s="97">
        <v>77</v>
      </c>
      <c r="F85" s="147">
        <f t="shared" si="0"/>
        <v>256.6666666666667</v>
      </c>
    </row>
    <row r="86" spans="1:6" ht="9.75" customHeight="1">
      <c r="A86" s="97"/>
      <c r="B86" s="95">
        <v>74</v>
      </c>
      <c r="C86" s="99">
        <v>2.47</v>
      </c>
      <c r="E86" s="97">
        <v>78</v>
      </c>
      <c r="F86" s="147">
        <f t="shared" si="0"/>
        <v>260</v>
      </c>
    </row>
    <row r="87" spans="1:6" ht="9.75" customHeight="1">
      <c r="A87" s="97"/>
      <c r="B87" s="95">
        <v>75</v>
      </c>
      <c r="C87" s="99">
        <v>2.5</v>
      </c>
      <c r="E87" s="97">
        <v>79</v>
      </c>
      <c r="F87" s="147">
        <f t="shared" si="0"/>
        <v>263.33333333333337</v>
      </c>
    </row>
    <row r="88" spans="1:6" ht="9.75" customHeight="1">
      <c r="A88" s="97"/>
      <c r="B88" s="95">
        <v>76</v>
      </c>
      <c r="C88" s="99">
        <v>2.53</v>
      </c>
      <c r="E88" s="97">
        <v>80</v>
      </c>
      <c r="F88" s="147">
        <f t="shared" si="0"/>
        <v>266.6666666666667</v>
      </c>
    </row>
    <row r="89" spans="1:6" ht="9.75" customHeight="1">
      <c r="A89" s="97"/>
      <c r="B89" s="95">
        <v>77</v>
      </c>
      <c r="C89" s="99">
        <v>2.57</v>
      </c>
      <c r="E89" s="97">
        <v>81</v>
      </c>
      <c r="F89" s="147">
        <f t="shared" si="0"/>
        <v>270</v>
      </c>
    </row>
    <row r="90" spans="1:6" ht="9.75" customHeight="1">
      <c r="A90" s="97"/>
      <c r="B90" s="95">
        <v>78</v>
      </c>
      <c r="C90" s="99">
        <v>2.6</v>
      </c>
      <c r="E90" s="97">
        <v>82</v>
      </c>
      <c r="F90" s="147">
        <f t="shared" si="0"/>
        <v>273.33333333333337</v>
      </c>
    </row>
    <row r="91" spans="1:6" ht="9.75" customHeight="1">
      <c r="A91" s="97"/>
      <c r="B91" s="95">
        <v>79</v>
      </c>
      <c r="C91" s="99">
        <v>2.63</v>
      </c>
      <c r="E91" s="97">
        <v>83</v>
      </c>
      <c r="F91" s="147">
        <f t="shared" si="0"/>
        <v>276.6666666666667</v>
      </c>
    </row>
    <row r="92" spans="1:6" ht="9.75" customHeight="1">
      <c r="A92" s="97"/>
      <c r="B92" s="95">
        <v>80</v>
      </c>
      <c r="C92" s="99">
        <v>2.67</v>
      </c>
      <c r="E92" s="97">
        <v>84</v>
      </c>
      <c r="F92" s="147">
        <f t="shared" si="0"/>
        <v>280</v>
      </c>
    </row>
    <row r="93" spans="1:6" ht="9.75" customHeight="1">
      <c r="A93" s="97"/>
      <c r="B93" s="95">
        <v>81</v>
      </c>
      <c r="C93" s="99">
        <v>2.7</v>
      </c>
      <c r="E93" s="97">
        <v>85</v>
      </c>
      <c r="F93" s="147">
        <f t="shared" si="0"/>
        <v>283.33333333333337</v>
      </c>
    </row>
    <row r="94" spans="1:6" ht="9.75" customHeight="1">
      <c r="A94" s="97"/>
      <c r="B94" s="95">
        <v>82</v>
      </c>
      <c r="C94" s="99">
        <v>2.73</v>
      </c>
      <c r="E94" s="97">
        <v>86</v>
      </c>
      <c r="F94" s="147">
        <f t="shared" si="0"/>
        <v>286.6666666666667</v>
      </c>
    </row>
    <row r="95" spans="1:6" ht="9.75" customHeight="1">
      <c r="A95" s="97"/>
      <c r="B95" s="95">
        <v>83</v>
      </c>
      <c r="C95" s="99">
        <v>2.77</v>
      </c>
      <c r="E95" s="97">
        <v>87</v>
      </c>
      <c r="F95" s="147">
        <f t="shared" si="0"/>
        <v>290</v>
      </c>
    </row>
    <row r="96" spans="1:6" ht="9.75" customHeight="1">
      <c r="A96" s="97"/>
      <c r="B96" s="95">
        <v>84</v>
      </c>
      <c r="C96" s="99">
        <v>2.8</v>
      </c>
      <c r="E96" s="97">
        <v>120</v>
      </c>
      <c r="F96" s="147">
        <f t="shared" si="0"/>
        <v>400</v>
      </c>
    </row>
    <row r="97" spans="1:6" ht="9.75" customHeight="1">
      <c r="A97" s="97"/>
      <c r="B97" s="95">
        <v>85</v>
      </c>
      <c r="C97" s="99">
        <v>2.83</v>
      </c>
      <c r="E97" s="97">
        <v>180</v>
      </c>
      <c r="F97" s="147">
        <f t="shared" si="0"/>
        <v>600</v>
      </c>
    </row>
    <row r="98" spans="1:6" ht="9.75" customHeight="1">
      <c r="A98" s="97"/>
      <c r="B98" s="95">
        <v>86</v>
      </c>
      <c r="C98" s="99">
        <v>2.87</v>
      </c>
      <c r="E98" s="97">
        <v>240</v>
      </c>
      <c r="F98" s="147">
        <f t="shared" si="0"/>
        <v>800</v>
      </c>
    </row>
    <row r="99" spans="1:6" ht="9.75" customHeight="1">
      <c r="A99" s="97"/>
      <c r="B99" s="95">
        <v>87</v>
      </c>
      <c r="C99" s="99">
        <v>2.9</v>
      </c>
      <c r="E99" s="97"/>
      <c r="F99" s="97"/>
    </row>
    <row r="100" spans="1:6" ht="9.75" customHeight="1">
      <c r="A100" s="148"/>
      <c r="B100" s="95">
        <v>120</v>
      </c>
      <c r="C100" s="99">
        <v>4</v>
      </c>
      <c r="E100" s="148"/>
      <c r="F100" s="148"/>
    </row>
    <row r="101" spans="1:6" ht="9.75" customHeight="1">
      <c r="A101" s="148"/>
      <c r="B101" s="95">
        <v>180</v>
      </c>
      <c r="C101" s="99">
        <v>6</v>
      </c>
      <c r="E101" s="148"/>
      <c r="F101" s="148"/>
    </row>
    <row r="102" spans="1:6" ht="9.75" customHeight="1">
      <c r="A102" s="148"/>
      <c r="B102" s="95">
        <v>240</v>
      </c>
      <c r="C102" s="99">
        <v>8</v>
      </c>
      <c r="E102" s="148"/>
      <c r="F102" s="148"/>
    </row>
    <row r="103" spans="1:6" ht="9.75" customHeight="1">
      <c r="A103" s="148"/>
      <c r="B103" s="95" t="s">
        <v>43</v>
      </c>
      <c r="C103" s="106"/>
      <c r="E103" s="148"/>
      <c r="F103" s="148"/>
    </row>
    <row r="104" spans="1:6" ht="9.75" customHeight="1">
      <c r="A104" s="148"/>
      <c r="C104" s="95" t="s">
        <v>6</v>
      </c>
      <c r="E104" s="148"/>
      <c r="F104" s="148"/>
    </row>
    <row r="105" spans="1:6" ht="9.75" customHeight="1">
      <c r="A105" s="148"/>
      <c r="E105" s="148"/>
      <c r="F105" s="148"/>
    </row>
    <row r="106" spans="1:6" ht="9.75" customHeight="1">
      <c r="A106" s="148"/>
      <c r="E106" s="148"/>
      <c r="F106" s="148"/>
    </row>
    <row r="107" spans="5:6" ht="9.75" customHeight="1">
      <c r="E107" s="148"/>
      <c r="F107" s="148"/>
    </row>
    <row r="108" spans="5:6" ht="9.75" customHeight="1">
      <c r="E108" s="148"/>
      <c r="F108" s="148"/>
    </row>
    <row r="109" spans="5:6" ht="9.75" customHeight="1">
      <c r="E109" s="148"/>
      <c r="F109" s="148"/>
    </row>
    <row r="110" spans="5:6" ht="9.75" customHeight="1">
      <c r="E110" s="148"/>
      <c r="F110" s="148"/>
    </row>
    <row r="111" spans="5:6" ht="9.75" customHeight="1">
      <c r="E111" s="148"/>
      <c r="F111" s="148"/>
    </row>
    <row r="112" spans="5:6" ht="9.75" customHeight="1">
      <c r="E112" s="148"/>
      <c r="F112" s="148"/>
    </row>
    <row r="113" spans="5:6" ht="9.75" customHeight="1">
      <c r="E113" s="148"/>
      <c r="F113" s="148"/>
    </row>
    <row r="114" spans="5:6" ht="9.75" customHeight="1">
      <c r="E114" s="148"/>
      <c r="F114" s="148"/>
    </row>
    <row r="115" spans="5:6" ht="9.75" customHeight="1">
      <c r="E115" s="148"/>
      <c r="F115" s="148"/>
    </row>
    <row r="116" spans="5:6" ht="9.75" customHeight="1">
      <c r="E116" s="97"/>
      <c r="F116" s="97"/>
    </row>
    <row r="117" spans="5:6" ht="9.75" customHeight="1">
      <c r="E117" s="97"/>
      <c r="F117" s="97"/>
    </row>
    <row r="118" spans="5:6" ht="9.75" customHeight="1">
      <c r="E118" s="97"/>
      <c r="F118" s="97"/>
    </row>
    <row r="119" spans="5:6" ht="9.75" customHeight="1">
      <c r="E119" s="97"/>
      <c r="F119" s="97"/>
    </row>
    <row r="120" spans="5:6" ht="9.75" customHeight="1">
      <c r="E120" s="97"/>
      <c r="F120" s="97"/>
    </row>
    <row r="121" spans="5:6" ht="9.75" customHeight="1">
      <c r="E121" s="97"/>
      <c r="F121" s="97"/>
    </row>
    <row r="122" spans="5:6" ht="9.75" customHeight="1">
      <c r="E122" s="97"/>
      <c r="F122" s="97"/>
    </row>
    <row r="123" spans="5:6" ht="9.75" customHeight="1">
      <c r="E123" s="97"/>
      <c r="F123" s="97"/>
    </row>
    <row r="124" spans="5:6" ht="9.75" customHeight="1">
      <c r="E124" s="97"/>
      <c r="F124" s="97"/>
    </row>
    <row r="125" spans="5:6" ht="9.75" customHeight="1">
      <c r="E125" s="97"/>
      <c r="F125" s="97"/>
    </row>
    <row r="126" spans="5:6" ht="9.75" customHeight="1">
      <c r="E126" s="97"/>
      <c r="F126" s="97"/>
    </row>
    <row r="127" spans="5:6" ht="9.75" customHeight="1">
      <c r="E127" s="97"/>
      <c r="F127" s="97"/>
    </row>
    <row r="128" spans="5:6" ht="9.75" customHeight="1">
      <c r="E128" s="97"/>
      <c r="F128" s="97"/>
    </row>
    <row r="129" spans="5:6" ht="9.75" customHeight="1">
      <c r="E129" s="97"/>
      <c r="F129" s="97"/>
    </row>
    <row r="130" spans="5:6" ht="9.75" customHeight="1">
      <c r="E130" s="97"/>
      <c r="F130" s="97"/>
    </row>
    <row r="131" spans="5:6" ht="9.75" customHeight="1">
      <c r="E131" s="97"/>
      <c r="F131" s="97"/>
    </row>
    <row r="132" spans="5:6" ht="9.75" customHeight="1">
      <c r="E132" s="97"/>
      <c r="F132" s="97"/>
    </row>
    <row r="133" spans="5:6" ht="9.75" customHeight="1">
      <c r="E133" s="97"/>
      <c r="F133" s="97"/>
    </row>
    <row r="134" spans="5:6" ht="9.75" customHeight="1">
      <c r="E134" s="97"/>
      <c r="F134" s="97"/>
    </row>
    <row r="135" spans="5:6" ht="9.75" customHeight="1">
      <c r="E135" s="97"/>
      <c r="F135" s="97"/>
    </row>
    <row r="136" spans="5:6" ht="9.75" customHeight="1">
      <c r="E136" s="97"/>
      <c r="F136" s="97"/>
    </row>
    <row r="137" spans="5:6" ht="9.75" customHeight="1">
      <c r="E137" s="97"/>
      <c r="F137" s="97"/>
    </row>
    <row r="138" spans="5:6" ht="9.75" customHeight="1">
      <c r="E138" s="97"/>
      <c r="F138" s="97"/>
    </row>
    <row r="139" spans="5:6" ht="9.75" customHeight="1">
      <c r="E139" s="97"/>
      <c r="F139" s="97"/>
    </row>
    <row r="140" spans="5:6" ht="9.75" customHeight="1">
      <c r="E140" s="97"/>
      <c r="F140" s="97"/>
    </row>
    <row r="141" spans="5:6" ht="9.75" customHeight="1">
      <c r="E141" s="97"/>
      <c r="F141" s="97"/>
    </row>
    <row r="142" spans="5:6" ht="9.75" customHeight="1">
      <c r="E142" s="97"/>
      <c r="F142" s="97"/>
    </row>
    <row r="143" spans="5:6" ht="9.75" customHeight="1">
      <c r="E143" s="97"/>
      <c r="F143" s="97"/>
    </row>
    <row r="144" spans="5:6" ht="9.75" customHeight="1">
      <c r="E144" s="97"/>
      <c r="F144" s="97"/>
    </row>
    <row r="145" spans="5:6" ht="9.75" customHeight="1">
      <c r="E145" s="97"/>
      <c r="F145" s="97"/>
    </row>
    <row r="146" spans="5:6" ht="9.75" customHeight="1">
      <c r="E146" s="97"/>
      <c r="F146" s="97"/>
    </row>
    <row r="147" spans="5:6" ht="9.75" customHeight="1">
      <c r="E147" s="97"/>
      <c r="F147" s="97"/>
    </row>
    <row r="148" spans="5:6" ht="9.75" customHeight="1">
      <c r="E148" s="97"/>
      <c r="F148" s="97"/>
    </row>
    <row r="149" spans="5:6" ht="9.75" customHeight="1">
      <c r="E149" s="97"/>
      <c r="F149" s="97"/>
    </row>
    <row r="150" spans="5:6" ht="9.75" customHeight="1">
      <c r="E150" s="97"/>
      <c r="F150" s="97"/>
    </row>
    <row r="151" spans="5:6" ht="9.75" customHeight="1">
      <c r="E151" s="97"/>
      <c r="F151" s="97"/>
    </row>
    <row r="152" spans="5:6" ht="9.75" customHeight="1">
      <c r="E152" s="97"/>
      <c r="F152" s="97"/>
    </row>
    <row r="153" spans="5:6" ht="9.75" customHeight="1">
      <c r="E153" s="97"/>
      <c r="F153" s="97"/>
    </row>
    <row r="154" spans="5:6" ht="9.75" customHeight="1">
      <c r="E154" s="97"/>
      <c r="F154" s="97"/>
    </row>
    <row r="155" spans="5:6" ht="9.75" customHeight="1">
      <c r="E155" s="97"/>
      <c r="F155" s="97"/>
    </row>
    <row r="156" spans="5:6" ht="9.75" customHeight="1">
      <c r="E156" s="97"/>
      <c r="F156" s="97"/>
    </row>
    <row r="157" spans="5:6" ht="9.75" customHeight="1">
      <c r="E157" s="97"/>
      <c r="F157" s="97"/>
    </row>
    <row r="158" spans="5:6" ht="9.75" customHeight="1">
      <c r="E158" s="97"/>
      <c r="F158" s="97"/>
    </row>
    <row r="159" spans="5:6" ht="9.75" customHeight="1">
      <c r="E159" s="97"/>
      <c r="F159" s="97"/>
    </row>
    <row r="160" spans="5:6" ht="9.75" customHeight="1">
      <c r="E160" s="97"/>
      <c r="F160" s="97"/>
    </row>
    <row r="161" spans="5:6" ht="9.75" customHeight="1">
      <c r="E161" s="97"/>
      <c r="F161" s="97"/>
    </row>
    <row r="162" spans="5:6" ht="9.75" customHeight="1">
      <c r="E162" s="97"/>
      <c r="F162" s="97"/>
    </row>
    <row r="163" spans="5:6" ht="9.75" customHeight="1">
      <c r="E163" s="97"/>
      <c r="F163" s="97"/>
    </row>
    <row r="164" spans="5:6" ht="9.75" customHeight="1">
      <c r="E164" s="97"/>
      <c r="F164" s="97"/>
    </row>
    <row r="165" spans="5:6" ht="9.75" customHeight="1">
      <c r="E165" s="97"/>
      <c r="F165" s="97"/>
    </row>
    <row r="166" spans="5:6" ht="9.75" customHeight="1">
      <c r="E166" s="97"/>
      <c r="F166" s="97"/>
    </row>
    <row r="167" spans="5:6" ht="9.75" customHeight="1">
      <c r="E167" s="97"/>
      <c r="F167" s="97"/>
    </row>
    <row r="168" spans="5:6" ht="9.75" customHeight="1">
      <c r="E168" s="97"/>
      <c r="F168" s="97"/>
    </row>
    <row r="169" spans="5:6" ht="9.75" customHeight="1">
      <c r="E169" s="97"/>
      <c r="F169" s="97"/>
    </row>
    <row r="170" spans="5:6" ht="9.75" customHeight="1">
      <c r="E170" s="97"/>
      <c r="F170" s="97"/>
    </row>
    <row r="171" spans="5:6" ht="9.75" customHeight="1">
      <c r="E171" s="97"/>
      <c r="F171" s="97"/>
    </row>
    <row r="172" spans="5:6" ht="9.75" customHeight="1">
      <c r="E172" s="97"/>
      <c r="F172" s="97"/>
    </row>
    <row r="173" spans="5:6" ht="9.75" customHeight="1">
      <c r="E173" s="97"/>
      <c r="F173" s="97"/>
    </row>
    <row r="174" spans="5:6" ht="9.75" customHeight="1">
      <c r="E174" s="97"/>
      <c r="F174" s="97"/>
    </row>
    <row r="175" spans="5:6" ht="9.75" customHeight="1">
      <c r="E175" s="97"/>
      <c r="F175" s="97"/>
    </row>
    <row r="176" spans="5:6" ht="9.75" customHeight="1">
      <c r="E176" s="97"/>
      <c r="F176" s="97"/>
    </row>
    <row r="177" spans="5:6" ht="9.75" customHeight="1">
      <c r="E177" s="97"/>
      <c r="F177" s="97"/>
    </row>
    <row r="178" spans="5:6" ht="9.75" customHeight="1">
      <c r="E178" s="97"/>
      <c r="F178" s="97"/>
    </row>
    <row r="179" spans="5:6" ht="9.75" customHeight="1">
      <c r="E179" s="97"/>
      <c r="F179" s="97"/>
    </row>
    <row r="180" spans="5:6" ht="9.75" customHeight="1">
      <c r="E180" s="97"/>
      <c r="F180" s="97"/>
    </row>
    <row r="181" spans="5:6" ht="9.75" customHeight="1">
      <c r="E181" s="97"/>
      <c r="F181" s="97"/>
    </row>
    <row r="182" spans="5:6" ht="9.75" customHeight="1">
      <c r="E182" s="97"/>
      <c r="F182" s="97"/>
    </row>
    <row r="183" spans="5:6" ht="9.75" customHeight="1">
      <c r="E183" s="97"/>
      <c r="F183" s="97"/>
    </row>
    <row r="184" spans="5:6" ht="9.75" customHeight="1">
      <c r="E184" s="97"/>
      <c r="F184" s="97"/>
    </row>
    <row r="185" spans="5:6" ht="9.75" customHeight="1">
      <c r="E185" s="97"/>
      <c r="F185" s="97"/>
    </row>
    <row r="186" spans="5:6" ht="9.75" customHeight="1">
      <c r="E186" s="97"/>
      <c r="F186" s="97"/>
    </row>
    <row r="187" spans="5:6" ht="9.75" customHeight="1">
      <c r="E187" s="97"/>
      <c r="F187" s="97"/>
    </row>
    <row r="188" spans="5:6" ht="9.75" customHeight="1">
      <c r="E188" s="97"/>
      <c r="F188" s="97"/>
    </row>
    <row r="189" spans="5:6" ht="9.75" customHeight="1">
      <c r="E189" s="97"/>
      <c r="F189" s="97"/>
    </row>
    <row r="190" spans="5:6" ht="9.75" customHeight="1">
      <c r="E190" s="97"/>
      <c r="F190" s="97"/>
    </row>
    <row r="191" spans="5:6" ht="9.75" customHeight="1">
      <c r="E191" s="97"/>
      <c r="F191" s="97"/>
    </row>
    <row r="192" spans="5:6" ht="9.75" customHeight="1">
      <c r="E192" s="97"/>
      <c r="F192" s="97"/>
    </row>
    <row r="193" spans="5:6" ht="9.75" customHeight="1">
      <c r="E193" s="97"/>
      <c r="F193" s="97"/>
    </row>
    <row r="194" spans="5:6" ht="9.75" customHeight="1">
      <c r="E194" s="97"/>
      <c r="F194" s="97"/>
    </row>
    <row r="195" spans="5:6" ht="9.75" customHeight="1">
      <c r="E195" s="97"/>
      <c r="F195" s="97"/>
    </row>
    <row r="196" spans="5:6" ht="9.75" customHeight="1">
      <c r="E196" s="97"/>
      <c r="F196" s="97"/>
    </row>
    <row r="197" spans="5:6" ht="9.75" customHeight="1">
      <c r="E197" s="97"/>
      <c r="F197" s="97"/>
    </row>
    <row r="198" spans="5:6" ht="9.75" customHeight="1">
      <c r="E198" s="97"/>
      <c r="F198" s="97"/>
    </row>
    <row r="199" spans="5:6" ht="9.75" customHeight="1">
      <c r="E199" s="97"/>
      <c r="F199" s="97"/>
    </row>
    <row r="200" spans="5:6" ht="9.75" customHeight="1">
      <c r="E200" s="97"/>
      <c r="F200" s="97"/>
    </row>
    <row r="201" spans="5:6" ht="9.75" customHeight="1">
      <c r="E201" s="97"/>
      <c r="F201" s="97"/>
    </row>
    <row r="202" spans="5:6" ht="9.75" customHeight="1">
      <c r="E202" s="97"/>
      <c r="F202" s="97"/>
    </row>
    <row r="203" spans="5:6" ht="9.75" customHeight="1">
      <c r="E203" s="97"/>
      <c r="F203" s="97"/>
    </row>
    <row r="204" spans="5:6" ht="9.75" customHeight="1">
      <c r="E204" s="97"/>
      <c r="F204" s="97"/>
    </row>
    <row r="205" spans="5:6" ht="9.75" customHeight="1">
      <c r="E205" s="97"/>
      <c r="F205" s="97"/>
    </row>
    <row r="206" spans="5:6" ht="9.75" customHeight="1">
      <c r="E206" s="97"/>
      <c r="F206" s="97"/>
    </row>
    <row r="207" spans="5:6" ht="9.75" customHeight="1">
      <c r="E207" s="97"/>
      <c r="F207" s="97"/>
    </row>
    <row r="208" spans="5:6" ht="9.75" customHeight="1">
      <c r="E208" s="97"/>
      <c r="F208" s="97"/>
    </row>
    <row r="209" spans="5:6" ht="9.75" customHeight="1">
      <c r="E209" s="97"/>
      <c r="F209" s="97"/>
    </row>
    <row r="210" spans="5:6" ht="9.75" customHeight="1">
      <c r="E210" s="97"/>
      <c r="F210" s="97"/>
    </row>
    <row r="211" spans="5:6" ht="9.75" customHeight="1">
      <c r="E211" s="97"/>
      <c r="F211" s="97"/>
    </row>
    <row r="212" spans="5:6" ht="9.75" customHeight="1">
      <c r="E212" s="97"/>
      <c r="F212" s="97"/>
    </row>
    <row r="213" spans="5:6" ht="9.75" customHeight="1">
      <c r="E213" s="97"/>
      <c r="F213" s="97"/>
    </row>
    <row r="214" spans="5:6" ht="9.75" customHeight="1">
      <c r="E214" s="97"/>
      <c r="F214" s="97"/>
    </row>
    <row r="215" spans="5:6" ht="9.75" customHeight="1">
      <c r="E215" s="97"/>
      <c r="F215" s="97"/>
    </row>
    <row r="216" spans="5:6" ht="9.75" customHeight="1">
      <c r="E216" s="97"/>
      <c r="F216" s="97"/>
    </row>
    <row r="217" spans="5:6" ht="9.75" customHeight="1">
      <c r="E217" s="97"/>
      <c r="F217" s="97"/>
    </row>
    <row r="218" spans="5:6" ht="9.75" customHeight="1">
      <c r="E218" s="97"/>
      <c r="F218" s="97"/>
    </row>
    <row r="219" spans="5:6" ht="9.75" customHeight="1">
      <c r="E219" s="97"/>
      <c r="F219" s="97"/>
    </row>
    <row r="220" spans="5:6" ht="9.75" customHeight="1">
      <c r="E220" s="97"/>
      <c r="F220" s="97"/>
    </row>
    <row r="221" spans="5:6" ht="9.75" customHeight="1">
      <c r="E221" s="97"/>
      <c r="F221" s="97"/>
    </row>
    <row r="222" spans="5:6" ht="9.75" customHeight="1">
      <c r="E222" s="97"/>
      <c r="F222" s="97"/>
    </row>
    <row r="223" spans="5:6" ht="9.75" customHeight="1">
      <c r="E223" s="97"/>
      <c r="F223" s="97"/>
    </row>
    <row r="224" spans="5:6" ht="9.75" customHeight="1">
      <c r="E224" s="97"/>
      <c r="F224" s="97"/>
    </row>
    <row r="225" spans="5:6" ht="9.75" customHeight="1">
      <c r="E225" s="97"/>
      <c r="F225" s="97"/>
    </row>
    <row r="226" spans="5:6" ht="9.75" customHeight="1">
      <c r="E226" s="97"/>
      <c r="F226" s="97"/>
    </row>
    <row r="227" spans="5:6" ht="9.75" customHeight="1">
      <c r="E227" s="97"/>
      <c r="F227" s="97"/>
    </row>
    <row r="228" spans="5:6" ht="9.75" customHeight="1">
      <c r="E228" s="97"/>
      <c r="F228" s="97"/>
    </row>
    <row r="229" spans="5:6" ht="9.75" customHeight="1">
      <c r="E229" s="97"/>
      <c r="F229" s="97"/>
    </row>
    <row r="230" spans="5:6" ht="9.75" customHeight="1">
      <c r="E230" s="97"/>
      <c r="F230" s="97"/>
    </row>
    <row r="231" spans="5:6" ht="9.75" customHeight="1">
      <c r="E231" s="97"/>
      <c r="F231" s="97"/>
    </row>
    <row r="232" spans="5:6" ht="9.75" customHeight="1">
      <c r="E232" s="97"/>
      <c r="F232" s="97"/>
    </row>
    <row r="233" spans="5:6" ht="9.75" customHeight="1">
      <c r="E233" s="97"/>
      <c r="F233" s="97"/>
    </row>
    <row r="234" spans="5:6" ht="9.75" customHeight="1">
      <c r="E234" s="97"/>
      <c r="F234" s="97"/>
    </row>
    <row r="235" spans="5:6" ht="9.75" customHeight="1">
      <c r="E235" s="97"/>
      <c r="F235" s="97"/>
    </row>
    <row r="236" spans="5:6" ht="9.75" customHeight="1">
      <c r="E236" s="148"/>
      <c r="F236" s="97"/>
    </row>
    <row r="237" spans="5:6" ht="9.75" customHeight="1">
      <c r="E237" s="148"/>
      <c r="F237" s="97"/>
    </row>
    <row r="238" spans="5:6" ht="9.75" customHeight="1">
      <c r="E238" s="148"/>
      <c r="F238" s="97"/>
    </row>
    <row r="239" spans="5:6" ht="9.75" customHeight="1">
      <c r="E239" s="148"/>
      <c r="F239" s="97"/>
    </row>
    <row r="240" spans="5:6" ht="9.75" customHeight="1">
      <c r="E240" s="148"/>
      <c r="F240" s="97"/>
    </row>
    <row r="241" spans="5:6" ht="9.75" customHeight="1">
      <c r="E241" s="148"/>
      <c r="F241" s="97"/>
    </row>
    <row r="242" spans="5:6" ht="9.75" customHeight="1">
      <c r="E242" s="148"/>
      <c r="F242" s="97"/>
    </row>
    <row r="243" spans="5:6" ht="9.75" customHeight="1">
      <c r="E243" s="148"/>
      <c r="F243" s="97"/>
    </row>
    <row r="244" spans="5:6" ht="9.75" customHeight="1">
      <c r="E244" s="148"/>
      <c r="F244" s="97"/>
    </row>
    <row r="245" spans="5:6" ht="9.75" customHeight="1">
      <c r="E245" s="148"/>
      <c r="F245" s="97"/>
    </row>
    <row r="246" spans="5:6" ht="9.75" customHeight="1">
      <c r="E246" s="148"/>
      <c r="F246" s="97"/>
    </row>
    <row r="247" spans="5:6" ht="9.75" customHeight="1">
      <c r="E247" s="148"/>
      <c r="F247" s="97"/>
    </row>
    <row r="248" spans="5:6" ht="9.75" customHeight="1">
      <c r="E248" s="148"/>
      <c r="F248" s="97"/>
    </row>
    <row r="249" spans="5:6" ht="9.75" customHeight="1">
      <c r="E249" s="148"/>
      <c r="F249" s="97"/>
    </row>
    <row r="250" spans="5:6" ht="9.75" customHeight="1">
      <c r="E250" s="148"/>
      <c r="F250" s="97"/>
    </row>
    <row r="251" spans="5:6" ht="9.75" customHeight="1">
      <c r="E251" s="148"/>
      <c r="F251" s="97"/>
    </row>
    <row r="252" spans="5:6" ht="9.75" customHeight="1">
      <c r="E252" s="97"/>
      <c r="F252" s="97"/>
    </row>
    <row r="253" spans="5:6" ht="9.75" customHeight="1">
      <c r="E253" s="97"/>
      <c r="F253" s="97"/>
    </row>
    <row r="254" spans="5:6" ht="9.75" customHeight="1">
      <c r="E254" s="97"/>
      <c r="F254" s="97"/>
    </row>
    <row r="255" spans="5:6" ht="9.75" customHeight="1">
      <c r="E255" s="97"/>
      <c r="F255" s="97"/>
    </row>
    <row r="256" spans="5:6" ht="9.75" customHeight="1">
      <c r="E256" s="97"/>
      <c r="F256" s="97"/>
    </row>
    <row r="257" spans="5:6" ht="9.75" customHeight="1">
      <c r="E257" s="97"/>
      <c r="F257" s="97"/>
    </row>
    <row r="258" spans="5:6" ht="9.75" customHeight="1">
      <c r="E258" s="97"/>
      <c r="F258" s="97"/>
    </row>
    <row r="259" spans="5:6" ht="9.75" customHeight="1">
      <c r="E259" s="97"/>
      <c r="F259" s="97"/>
    </row>
    <row r="260" spans="5:6" ht="9.75" customHeight="1">
      <c r="E260" s="97"/>
      <c r="F260" s="97"/>
    </row>
    <row r="261" spans="5:6" ht="9.75" customHeight="1">
      <c r="E261" s="97"/>
      <c r="F261" s="97"/>
    </row>
    <row r="262" spans="5:6" ht="9.75" customHeight="1">
      <c r="E262" s="97"/>
      <c r="F262" s="97"/>
    </row>
    <row r="263" spans="5:6" ht="9.75" customHeight="1">
      <c r="E263" s="97"/>
      <c r="F263" s="97"/>
    </row>
    <row r="264" spans="5:6" ht="9.75" customHeight="1">
      <c r="E264" s="97"/>
      <c r="F264" s="97"/>
    </row>
    <row r="265" spans="5:6" ht="9.75" customHeight="1">
      <c r="E265" s="97"/>
      <c r="F265" s="97"/>
    </row>
    <row r="266" spans="5:6" ht="9.75" customHeight="1">
      <c r="E266" s="97"/>
      <c r="F266" s="97"/>
    </row>
    <row r="267" spans="5:6" ht="9.75" customHeight="1">
      <c r="E267" s="97"/>
      <c r="F267" s="97"/>
    </row>
    <row r="268" spans="5:6" ht="9.75" customHeight="1">
      <c r="E268" s="97"/>
      <c r="F268" s="97"/>
    </row>
    <row r="269" spans="5:6" ht="9.75" customHeight="1">
      <c r="E269" s="97"/>
      <c r="F269" s="97"/>
    </row>
    <row r="270" spans="5:6" ht="9.75" customHeight="1">
      <c r="E270" s="97"/>
      <c r="F270" s="97"/>
    </row>
    <row r="271" spans="5:6" ht="9.75" customHeight="1">
      <c r="E271" s="97"/>
      <c r="F271" s="97"/>
    </row>
    <row r="272" spans="5:6" ht="9.75" customHeight="1">
      <c r="E272" s="97"/>
      <c r="F272" s="97"/>
    </row>
    <row r="273" spans="5:6" ht="9.75" customHeight="1">
      <c r="E273" s="97"/>
      <c r="F273" s="97"/>
    </row>
    <row r="274" spans="5:6" ht="9.75" customHeight="1">
      <c r="E274" s="97"/>
      <c r="F274" s="97"/>
    </row>
    <row r="275" spans="5:6" ht="9.75" customHeight="1">
      <c r="E275" s="97"/>
      <c r="F275" s="97"/>
    </row>
    <row r="276" spans="5:6" ht="9.75" customHeight="1">
      <c r="E276" s="97"/>
      <c r="F276" s="97"/>
    </row>
    <row r="277" spans="5:6" ht="9.75" customHeight="1">
      <c r="E277" s="97"/>
      <c r="F277" s="97"/>
    </row>
    <row r="278" spans="5:6" ht="9.75" customHeight="1">
      <c r="E278" s="97"/>
      <c r="F278" s="97"/>
    </row>
    <row r="279" spans="5:6" ht="9.75" customHeight="1">
      <c r="E279" s="97"/>
      <c r="F279" s="97"/>
    </row>
    <row r="280" spans="5:6" ht="9.75" customHeight="1">
      <c r="E280" s="97"/>
      <c r="F280" s="97"/>
    </row>
    <row r="281" spans="5:6" ht="9.75" customHeight="1">
      <c r="E281" s="97"/>
      <c r="F281" s="97"/>
    </row>
    <row r="282" spans="5:6" ht="9.75" customHeight="1">
      <c r="E282" s="97"/>
      <c r="F282" s="97"/>
    </row>
    <row r="283" spans="5:6" ht="9.75" customHeight="1">
      <c r="E283" s="97"/>
      <c r="F283" s="97"/>
    </row>
    <row r="284" spans="5:6" ht="9.75" customHeight="1">
      <c r="E284" s="97"/>
      <c r="F284" s="97"/>
    </row>
    <row r="285" spans="5:6" ht="9.75" customHeight="1">
      <c r="E285" s="97"/>
      <c r="F285" s="97"/>
    </row>
    <row r="286" spans="5:6" ht="9.75" customHeight="1">
      <c r="E286" s="97"/>
      <c r="F286" s="97"/>
    </row>
    <row r="287" spans="5:6" ht="9.75" customHeight="1">
      <c r="E287" s="97"/>
      <c r="F287" s="97"/>
    </row>
    <row r="288" spans="5:6" ht="9.75" customHeight="1">
      <c r="E288" s="97"/>
      <c r="F288" s="97"/>
    </row>
    <row r="289" spans="5:6" ht="9.75" customHeight="1">
      <c r="E289" s="97"/>
      <c r="F289" s="97"/>
    </row>
    <row r="290" spans="5:6" ht="9.75" customHeight="1">
      <c r="E290" s="97"/>
      <c r="F290" s="97"/>
    </row>
    <row r="291" spans="5:6" ht="9.75" customHeight="1">
      <c r="E291" s="97"/>
      <c r="F291" s="97"/>
    </row>
    <row r="292" spans="5:6" ht="9.75" customHeight="1">
      <c r="E292" s="97"/>
      <c r="F292" s="97"/>
    </row>
    <row r="293" spans="5:6" ht="9.75" customHeight="1">
      <c r="E293" s="97"/>
      <c r="F293" s="97"/>
    </row>
    <row r="294" spans="5:6" ht="9.75" customHeight="1">
      <c r="E294" s="97"/>
      <c r="F294" s="97"/>
    </row>
    <row r="295" spans="5:6" ht="9.75" customHeight="1">
      <c r="E295" s="97"/>
      <c r="F295" s="97"/>
    </row>
    <row r="296" spans="5:6" ht="9.75" customHeight="1">
      <c r="E296" s="97"/>
      <c r="F296" s="97"/>
    </row>
    <row r="297" spans="5:6" ht="9.75" customHeight="1">
      <c r="E297" s="97"/>
      <c r="F297" s="97"/>
    </row>
    <row r="298" spans="5:6" ht="9.75" customHeight="1">
      <c r="E298" s="97"/>
      <c r="F298" s="97"/>
    </row>
    <row r="299" spans="5:6" ht="9.75" customHeight="1">
      <c r="E299" s="97"/>
      <c r="F299" s="97"/>
    </row>
    <row r="300" spans="5:6" ht="9.75" customHeight="1">
      <c r="E300" s="97"/>
      <c r="F300" s="97"/>
    </row>
    <row r="301" spans="5:6" ht="9.75" customHeight="1">
      <c r="E301" s="97"/>
      <c r="F301" s="97"/>
    </row>
    <row r="302" spans="5:6" ht="9.75" customHeight="1">
      <c r="E302" s="97"/>
      <c r="F302" s="97"/>
    </row>
    <row r="303" spans="5:6" ht="9.75" customHeight="1">
      <c r="E303" s="97"/>
      <c r="F303" s="97"/>
    </row>
    <row r="304" spans="5:6" ht="9.75" customHeight="1">
      <c r="E304" s="97"/>
      <c r="F304" s="97"/>
    </row>
    <row r="305" spans="5:6" ht="9.75" customHeight="1">
      <c r="E305" s="97"/>
      <c r="F305" s="97"/>
    </row>
    <row r="306" spans="5:6" ht="9.75" customHeight="1">
      <c r="E306" s="97"/>
      <c r="F306" s="97"/>
    </row>
    <row r="307" spans="5:6" ht="9.75" customHeight="1">
      <c r="E307" s="97"/>
      <c r="F307" s="97"/>
    </row>
    <row r="308" spans="5:6" ht="9.75" customHeight="1">
      <c r="E308" s="97"/>
      <c r="F308" s="97"/>
    </row>
    <row r="309" spans="5:6" ht="9.75" customHeight="1">
      <c r="E309" s="97"/>
      <c r="F309" s="97"/>
    </row>
    <row r="310" spans="5:6" ht="9.75" customHeight="1">
      <c r="E310" s="97"/>
      <c r="F310" s="97"/>
    </row>
    <row r="311" spans="5:6" ht="9.75" customHeight="1">
      <c r="E311" s="97"/>
      <c r="F311" s="97"/>
    </row>
    <row r="312" spans="5:6" ht="9.75" customHeight="1">
      <c r="E312" s="97"/>
      <c r="F312" s="97"/>
    </row>
    <row r="313" spans="5:6" ht="9.75" customHeight="1">
      <c r="E313" s="97"/>
      <c r="F313" s="97"/>
    </row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</sheetData>
  <sheetProtection password="9690" sheet="1"/>
  <autoFilter ref="B3:D447"/>
  <mergeCells count="6">
    <mergeCell ref="J1:T1"/>
    <mergeCell ref="J14:J15"/>
    <mergeCell ref="K8:M8"/>
    <mergeCell ref="K14:M14"/>
    <mergeCell ref="N14:N15"/>
    <mergeCell ref="O14:Q14"/>
  </mergeCells>
  <printOptions/>
  <pageMargins left="0.1968503937007874" right="0.1968503937007874" top="0.1968503937007874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d.simeonov</dc:creator>
  <cp:keywords/>
  <dc:description/>
  <cp:lastModifiedBy>Emiliya</cp:lastModifiedBy>
  <cp:lastPrinted>2018-11-21T13:01:01Z</cp:lastPrinted>
  <dcterms:created xsi:type="dcterms:W3CDTF">2010-02-02T11:49:28Z</dcterms:created>
  <dcterms:modified xsi:type="dcterms:W3CDTF">2018-12-18T16:27:24Z</dcterms:modified>
  <cp:category/>
  <cp:version/>
  <cp:contentType/>
  <cp:contentStatus/>
</cp:coreProperties>
</file>